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user\Desktop\раскр 4 кв 2024 года\"/>
    </mc:Choice>
  </mc:AlternateContent>
  <xr:revisionPtr revIDLastSave="0" documentId="13_ncr:1_{731E7916-2F84-4FA9-BB9C-5D63AF2EC705}" xr6:coauthVersionLast="47" xr6:coauthVersionMax="47" xr10:uidLastSave="{00000000-0000-0000-0000-000000000000}"/>
  <bookViews>
    <workbookView xWindow="-120" yWindow="-120" windowWidth="29040" windowHeight="1572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территорий'!$E$16:$I$16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территорий'!$C$12:$C$16</definedName>
    <definedName name="pDel_LT_MO">'Список территорий'!$D$11:$D$16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территорий'!$G$13:$I$14</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территорий'!$E$11:$I$16</definedName>
    <definedName name="TERRITORY_ID">TEHSHEET!$E$56</definedName>
    <definedName name="TERRITORY_LIST_ID">'Список территорий'!$F$11:$F$16</definedName>
    <definedName name="TERRITORY_MO_LIST">'Список территорий'!$H$11:$H$16</definedName>
    <definedName name="TERRITORY_MR_LIST">'Список территорий'!$G$11:$G$16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E129" i="33" s="1"/>
  <c r="M99" i="63"/>
  <c r="K99" i="63"/>
  <c r="N99" i="63" s="1"/>
  <c r="J128" i="33" s="1"/>
  <c r="J99" i="63"/>
  <c r="I99" i="63"/>
  <c r="L99" i="63" s="1"/>
  <c r="M98" i="63"/>
  <c r="K98" i="63"/>
  <c r="N98" i="63" s="1"/>
  <c r="J127" i="33" s="1"/>
  <c r="J98" i="63"/>
  <c r="I98" i="63"/>
  <c r="L98" i="63" s="1"/>
  <c r="M97" i="63"/>
  <c r="K97" i="63"/>
  <c r="N97" i="63" s="1"/>
  <c r="J97" i="63"/>
  <c r="I97" i="63"/>
  <c r="L97" i="63" s="1"/>
  <c r="M96" i="63"/>
  <c r="F123" i="33" s="1"/>
  <c r="K96" i="63"/>
  <c r="N96" i="63" s="1"/>
  <c r="J123" i="33" s="1"/>
  <c r="J96" i="63"/>
  <c r="I96" i="63"/>
  <c r="L96" i="63" s="1"/>
  <c r="M95" i="63"/>
  <c r="K95" i="63"/>
  <c r="N95" i="63" s="1"/>
  <c r="J95" i="63"/>
  <c r="I95" i="63"/>
  <c r="L95" i="63" s="1"/>
  <c r="M94" i="63"/>
  <c r="K94" i="63"/>
  <c r="N94" i="63" s="1"/>
  <c r="J94" i="63"/>
  <c r="I94" i="63"/>
  <c r="L94" i="63" s="1"/>
  <c r="E117" i="33" s="1"/>
  <c r="E118" i="33" s="1"/>
  <c r="M93" i="63"/>
  <c r="K93" i="63"/>
  <c r="N93" i="63" s="1"/>
  <c r="J116" i="33" s="1"/>
  <c r="J93" i="63"/>
  <c r="I93" i="63"/>
  <c r="L93" i="63" s="1"/>
  <c r="M92" i="63"/>
  <c r="K92" i="63"/>
  <c r="N92" i="63" s="1"/>
  <c r="J92" i="63"/>
  <c r="I92" i="63"/>
  <c r="L92" i="63" s="1"/>
  <c r="M91" i="63"/>
  <c r="K91" i="63"/>
  <c r="N91" i="63" s="1"/>
  <c r="J114" i="33" s="1"/>
  <c r="J91" i="63"/>
  <c r="I91" i="63"/>
  <c r="L91" i="63" s="1"/>
  <c r="E114" i="33" s="1"/>
  <c r="M90" i="63"/>
  <c r="F113" i="33" s="1"/>
  <c r="K90" i="63"/>
  <c r="N90" i="63" s="1"/>
  <c r="J113" i="33" s="1"/>
  <c r="J90" i="63"/>
  <c r="I90" i="63"/>
  <c r="L90" i="63" s="1"/>
  <c r="M89" i="63"/>
  <c r="K89" i="63"/>
  <c r="N89" i="63" s="1"/>
  <c r="J89" i="63"/>
  <c r="I89" i="63"/>
  <c r="L89" i="63" s="1"/>
  <c r="M88" i="63"/>
  <c r="K88" i="63"/>
  <c r="N88" i="63" s="1"/>
  <c r="J88" i="63"/>
  <c r="I88" i="63"/>
  <c r="L88" i="63" s="1"/>
  <c r="E111" i="33" s="1"/>
  <c r="M87" i="63"/>
  <c r="K87" i="63"/>
  <c r="N87" i="63" s="1"/>
  <c r="J110" i="33" s="1"/>
  <c r="J87" i="63"/>
  <c r="I87" i="63"/>
  <c r="L87" i="63" s="1"/>
  <c r="M86" i="63"/>
  <c r="K86" i="63"/>
  <c r="N86" i="63" s="1"/>
  <c r="J86" i="63"/>
  <c r="I86" i="63"/>
  <c r="L86" i="63" s="1"/>
  <c r="M85" i="63"/>
  <c r="K85" i="63"/>
  <c r="N85" i="63" s="1"/>
  <c r="J85" i="63"/>
  <c r="I85" i="63"/>
  <c r="L85" i="63" s="1"/>
  <c r="E108" i="33" s="1"/>
  <c r="M84" i="63"/>
  <c r="F107" i="33" s="1"/>
  <c r="K84" i="63"/>
  <c r="N84" i="63" s="1"/>
  <c r="J107" i="33" s="1"/>
  <c r="J84" i="63"/>
  <c r="I84" i="63"/>
  <c r="L84" i="63" s="1"/>
  <c r="M83" i="63"/>
  <c r="K83" i="63"/>
  <c r="N83" i="63" s="1"/>
  <c r="J106" i="33" s="1"/>
  <c r="J83" i="63"/>
  <c r="I83" i="63"/>
  <c r="L83" i="63" s="1"/>
  <c r="M82" i="63"/>
  <c r="K82" i="63"/>
  <c r="N82" i="63" s="1"/>
  <c r="J82" i="63"/>
  <c r="I82" i="63"/>
  <c r="L82" i="63" s="1"/>
  <c r="E105" i="33" s="1"/>
  <c r="M81" i="63"/>
  <c r="K81" i="63"/>
  <c r="N81" i="63" s="1"/>
  <c r="J104" i="33" s="1"/>
  <c r="J81" i="63"/>
  <c r="I81" i="63"/>
  <c r="L81" i="63" s="1"/>
  <c r="M80" i="63"/>
  <c r="K80" i="63"/>
  <c r="N80" i="63" s="1"/>
  <c r="J80" i="63"/>
  <c r="I80" i="63"/>
  <c r="L80" i="63" s="1"/>
  <c r="M79" i="63"/>
  <c r="K79" i="63"/>
  <c r="N79" i="63" s="1"/>
  <c r="J102" i="33" s="1"/>
  <c r="J79" i="63"/>
  <c r="I79" i="63"/>
  <c r="L79" i="63" s="1"/>
  <c r="E102" i="33" s="1"/>
  <c r="M78" i="63"/>
  <c r="F99" i="33" s="1"/>
  <c r="K78" i="63"/>
  <c r="N78" i="63" s="1"/>
  <c r="J99" i="33" s="1"/>
  <c r="J78" i="63"/>
  <c r="I78" i="63"/>
  <c r="L78" i="63" s="1"/>
  <c r="M77" i="63"/>
  <c r="K77" i="63"/>
  <c r="N77" i="63" s="1"/>
  <c r="J77" i="63"/>
  <c r="I77" i="63"/>
  <c r="L77" i="63" s="1"/>
  <c r="M76" i="63"/>
  <c r="K76" i="63"/>
  <c r="N76" i="63" s="1"/>
  <c r="J76" i="63"/>
  <c r="I76" i="63"/>
  <c r="L76" i="63" s="1"/>
  <c r="E97" i="33" s="1"/>
  <c r="M75" i="63"/>
  <c r="F96" i="33" s="1"/>
  <c r="K75" i="63"/>
  <c r="N75" i="63" s="1"/>
  <c r="J96" i="33" s="1"/>
  <c r="J75" i="63"/>
  <c r="I75" i="63"/>
  <c r="L75" i="63" s="1"/>
  <c r="M74" i="63"/>
  <c r="K74" i="63"/>
  <c r="N74" i="63" s="1"/>
  <c r="J74" i="63"/>
  <c r="I74" i="63"/>
  <c r="L74" i="63" s="1"/>
  <c r="M73" i="63"/>
  <c r="K73" i="63"/>
  <c r="N73" i="63" s="1"/>
  <c r="J73" i="63"/>
  <c r="I73" i="63"/>
  <c r="L73" i="63" s="1"/>
  <c r="E94" i="33" s="1"/>
  <c r="M72" i="63"/>
  <c r="F93" i="33" s="1"/>
  <c r="K72" i="63"/>
  <c r="N72" i="63" s="1"/>
  <c r="J93" i="33" s="1"/>
  <c r="J72" i="63"/>
  <c r="I72" i="63"/>
  <c r="L72" i="63" s="1"/>
  <c r="E93" i="33" s="1"/>
  <c r="M71" i="63"/>
  <c r="K71" i="63"/>
  <c r="N71" i="63" s="1"/>
  <c r="J71" i="63"/>
  <c r="I71" i="63"/>
  <c r="L71" i="63" s="1"/>
  <c r="M70" i="63"/>
  <c r="K70" i="63"/>
  <c r="N70" i="63" s="1"/>
  <c r="J70" i="63"/>
  <c r="I70" i="63"/>
  <c r="L70" i="63" s="1"/>
  <c r="E91" i="33" s="1"/>
  <c r="M69" i="63"/>
  <c r="F90" i="33" s="1"/>
  <c r="K69" i="63"/>
  <c r="N69" i="63" s="1"/>
  <c r="J90" i="33" s="1"/>
  <c r="J69" i="63"/>
  <c r="I69" i="63"/>
  <c r="L69" i="63" s="1"/>
  <c r="M68" i="63"/>
  <c r="K68" i="63"/>
  <c r="N68" i="63" s="1"/>
  <c r="J68" i="63"/>
  <c r="I68" i="63"/>
  <c r="L68" i="63" s="1"/>
  <c r="E89" i="33" s="1"/>
  <c r="M67" i="63"/>
  <c r="K67" i="63"/>
  <c r="N67" i="63" s="1"/>
  <c r="J67" i="63"/>
  <c r="I67" i="63"/>
  <c r="L67" i="63" s="1"/>
  <c r="E88" i="33" s="1"/>
  <c r="M66" i="63"/>
  <c r="F87" i="33" s="1"/>
  <c r="K66" i="63"/>
  <c r="N66" i="63" s="1"/>
  <c r="J87" i="33" s="1"/>
  <c r="J66" i="63"/>
  <c r="I66" i="63"/>
  <c r="L66" i="63" s="1"/>
  <c r="M65" i="63"/>
  <c r="K65" i="63"/>
  <c r="N65" i="63" s="1"/>
  <c r="J65" i="63"/>
  <c r="I65" i="63"/>
  <c r="L65" i="63" s="1"/>
  <c r="M64" i="63"/>
  <c r="K64" i="63"/>
  <c r="N64" i="63" s="1"/>
  <c r="J85" i="33" s="1"/>
  <c r="J64" i="63"/>
  <c r="I64" i="63"/>
  <c r="L64" i="63" s="1"/>
  <c r="E85" i="33" s="1"/>
  <c r="M63" i="63"/>
  <c r="F84" i="33" s="1"/>
  <c r="K63" i="63"/>
  <c r="N63" i="63" s="1"/>
  <c r="J84" i="33" s="1"/>
  <c r="J63" i="63"/>
  <c r="I63" i="63"/>
  <c r="L63" i="63" s="1"/>
  <c r="M62" i="63"/>
  <c r="K62" i="63"/>
  <c r="N62" i="63" s="1"/>
  <c r="J62" i="63"/>
  <c r="I62" i="63"/>
  <c r="L62" i="63" s="1"/>
  <c r="M61" i="63"/>
  <c r="K61" i="63"/>
  <c r="N61" i="63" s="1"/>
  <c r="J61" i="63"/>
  <c r="I61" i="63"/>
  <c r="L61" i="63" s="1"/>
  <c r="E82" i="33" s="1"/>
  <c r="M60" i="63"/>
  <c r="F81" i="33" s="1"/>
  <c r="K60" i="63"/>
  <c r="N60" i="63" s="1"/>
  <c r="J81" i="33" s="1"/>
  <c r="J60" i="63"/>
  <c r="I60" i="63"/>
  <c r="L60" i="63" s="1"/>
  <c r="M59" i="63"/>
  <c r="K59" i="63"/>
  <c r="N59" i="63" s="1"/>
  <c r="J80" i="33" s="1"/>
  <c r="J59" i="63"/>
  <c r="I59" i="63"/>
  <c r="L59" i="63" s="1"/>
  <c r="T58" i="63"/>
  <c r="N58" i="63"/>
  <c r="L58" i="63"/>
  <c r="K58" i="63"/>
  <c r="J58" i="63"/>
  <c r="M58" i="63" s="1"/>
  <c r="F79" i="33" s="1"/>
  <c r="I58" i="63"/>
  <c r="T57" i="63"/>
  <c r="J57" i="63" s="1"/>
  <c r="M57" i="63"/>
  <c r="K57" i="63"/>
  <c r="N57" i="63" s="1"/>
  <c r="I57" i="63"/>
  <c r="L57" i="63" s="1"/>
  <c r="T56" i="63"/>
  <c r="N56" i="63"/>
  <c r="J77" i="33" s="1"/>
  <c r="L56" i="63"/>
  <c r="K56" i="63"/>
  <c r="J56" i="63"/>
  <c r="M56" i="63" s="1"/>
  <c r="I56" i="63"/>
  <c r="T55" i="63"/>
  <c r="J55" i="63" s="1"/>
  <c r="M55" i="63" s="1"/>
  <c r="F76" i="33" s="1"/>
  <c r="K55" i="63"/>
  <c r="N55" i="63" s="1"/>
  <c r="J76" i="33" s="1"/>
  <c r="I55" i="63"/>
  <c r="L55" i="63" s="1"/>
  <c r="M54" i="63"/>
  <c r="K54" i="63"/>
  <c r="N54" i="63" s="1"/>
  <c r="J54" i="63"/>
  <c r="I54" i="63"/>
  <c r="L54" i="63" s="1"/>
  <c r="M53" i="63"/>
  <c r="K53" i="63"/>
  <c r="N53" i="63" s="1"/>
  <c r="J53" i="63"/>
  <c r="I53" i="63"/>
  <c r="L53" i="63" s="1"/>
  <c r="M52" i="63"/>
  <c r="K52" i="63"/>
  <c r="N52" i="63" s="1"/>
  <c r="J73" i="33" s="1"/>
  <c r="J52" i="63"/>
  <c r="I52" i="63"/>
  <c r="L52" i="63" s="1"/>
  <c r="M51" i="63"/>
  <c r="K51" i="63"/>
  <c r="N51" i="63" s="1"/>
  <c r="J51" i="63"/>
  <c r="I51" i="63"/>
  <c r="L51" i="63" s="1"/>
  <c r="M50" i="63"/>
  <c r="K50" i="63"/>
  <c r="N50" i="63" s="1"/>
  <c r="J50" i="63"/>
  <c r="I50" i="63"/>
  <c r="L50" i="63" s="1"/>
  <c r="M49" i="63"/>
  <c r="K49" i="63"/>
  <c r="N49" i="63" s="1"/>
  <c r="J68" i="33" s="1"/>
  <c r="L68" i="33" s="1"/>
  <c r="J49" i="63"/>
  <c r="I49" i="63"/>
  <c r="L49" i="63" s="1"/>
  <c r="M48" i="63"/>
  <c r="K48" i="63"/>
  <c r="N48" i="63" s="1"/>
  <c r="J48" i="63"/>
  <c r="I48" i="63"/>
  <c r="L48" i="63" s="1"/>
  <c r="M47" i="63"/>
  <c r="K47" i="63"/>
  <c r="N47" i="63" s="1"/>
  <c r="J47" i="63"/>
  <c r="I47" i="63"/>
  <c r="L47" i="63" s="1"/>
  <c r="T46" i="63"/>
  <c r="N46" i="63"/>
  <c r="L46" i="63"/>
  <c r="E65" i="33" s="1"/>
  <c r="K65" i="33" s="1"/>
  <c r="K46" i="63"/>
  <c r="J46" i="63"/>
  <c r="M46" i="63" s="1"/>
  <c r="I46" i="63"/>
  <c r="N45" i="63"/>
  <c r="L45" i="63"/>
  <c r="K45" i="63"/>
  <c r="J45" i="63"/>
  <c r="M45" i="63" s="1"/>
  <c r="I45" i="63"/>
  <c r="N44" i="63"/>
  <c r="L44" i="63"/>
  <c r="E63" i="33" s="1"/>
  <c r="K63" i="33" s="1"/>
  <c r="K44" i="63"/>
  <c r="J44" i="63"/>
  <c r="M44" i="63" s="1"/>
  <c r="F63" i="33" s="1"/>
  <c r="I44" i="63"/>
  <c r="L43" i="63"/>
  <c r="K43" i="63"/>
  <c r="N43" i="63" s="1"/>
  <c r="J43" i="63"/>
  <c r="M43" i="63" s="1"/>
  <c r="I43" i="63"/>
  <c r="N42" i="63"/>
  <c r="L42" i="63"/>
  <c r="K42" i="63"/>
  <c r="J42" i="63"/>
  <c r="M42" i="63" s="1"/>
  <c r="I42" i="63"/>
  <c r="L41" i="63"/>
  <c r="E60" i="33" s="1"/>
  <c r="K60" i="33" s="1"/>
  <c r="K41" i="63"/>
  <c r="N41" i="63" s="1"/>
  <c r="J60" i="33" s="1"/>
  <c r="J41" i="63"/>
  <c r="M41" i="63" s="1"/>
  <c r="I41" i="63"/>
  <c r="N40" i="63"/>
  <c r="L40" i="63"/>
  <c r="E59" i="33" s="1"/>
  <c r="K40" i="63"/>
  <c r="J40" i="63"/>
  <c r="M40" i="63" s="1"/>
  <c r="I40" i="63"/>
  <c r="L39" i="63"/>
  <c r="K39" i="63"/>
  <c r="N39" i="63" s="1"/>
  <c r="J39" i="63"/>
  <c r="M39" i="63" s="1"/>
  <c r="F58" i="33" s="1"/>
  <c r="I39" i="63"/>
  <c r="N38" i="63"/>
  <c r="L38" i="63"/>
  <c r="K38" i="63"/>
  <c r="J38" i="63"/>
  <c r="M38" i="63" s="1"/>
  <c r="I38" i="63"/>
  <c r="L37" i="63"/>
  <c r="K37" i="63"/>
  <c r="N37" i="63" s="1"/>
  <c r="J37" i="63"/>
  <c r="M37" i="63" s="1"/>
  <c r="I37" i="63"/>
  <c r="N36" i="63"/>
  <c r="L36" i="63"/>
  <c r="E55" i="33" s="1"/>
  <c r="K55" i="33" s="1"/>
  <c r="K36" i="63"/>
  <c r="J36" i="63"/>
  <c r="M36" i="63" s="1"/>
  <c r="F55" i="33" s="1"/>
  <c r="I36" i="63"/>
  <c r="T35" i="63"/>
  <c r="J35" i="63" s="1"/>
  <c r="M35" i="63" s="1"/>
  <c r="F54" i="33" s="1"/>
  <c r="L35" i="63"/>
  <c r="K35" i="63"/>
  <c r="N35" i="63" s="1"/>
  <c r="I35" i="63"/>
  <c r="M34" i="63"/>
  <c r="K34" i="63"/>
  <c r="N34" i="63" s="1"/>
  <c r="J34" i="63"/>
  <c r="I34" i="63"/>
  <c r="L34" i="63" s="1"/>
  <c r="E53" i="33" s="1"/>
  <c r="T33" i="63"/>
  <c r="N33" i="63"/>
  <c r="J52" i="33" s="1"/>
  <c r="M33" i="63"/>
  <c r="L33" i="63"/>
  <c r="K33" i="63"/>
  <c r="J33" i="63"/>
  <c r="I33" i="63"/>
  <c r="T32" i="63"/>
  <c r="J32" i="63" s="1"/>
  <c r="M32" i="63"/>
  <c r="K32" i="63"/>
  <c r="N32" i="63" s="1"/>
  <c r="I32" i="63"/>
  <c r="L32" i="63" s="1"/>
  <c r="N31" i="63"/>
  <c r="M31" i="63"/>
  <c r="K31" i="63"/>
  <c r="J31" i="63"/>
  <c r="I31" i="63"/>
  <c r="L31" i="63" s="1"/>
  <c r="M30" i="63"/>
  <c r="K30" i="63"/>
  <c r="N30" i="63" s="1"/>
  <c r="J30" i="63"/>
  <c r="I30" i="63"/>
  <c r="L30" i="63" s="1"/>
  <c r="T29" i="63"/>
  <c r="N29" i="63"/>
  <c r="L29" i="63"/>
  <c r="K29" i="63"/>
  <c r="J29" i="63"/>
  <c r="M29" i="63" s="1"/>
  <c r="F48" i="33" s="1"/>
  <c r="I29" i="63"/>
  <c r="N28" i="63"/>
  <c r="K28" i="63"/>
  <c r="J28" i="63"/>
  <c r="M28" i="63" s="1"/>
  <c r="I28" i="63"/>
  <c r="L28" i="63" s="1"/>
  <c r="E47" i="33" s="1"/>
  <c r="N27" i="63"/>
  <c r="L27" i="63"/>
  <c r="K27" i="63"/>
  <c r="J27" i="63"/>
  <c r="M27" i="63" s="1"/>
  <c r="I27" i="63"/>
  <c r="T26" i="63"/>
  <c r="K26" i="63"/>
  <c r="N26" i="63" s="1"/>
  <c r="J45" i="33" s="1"/>
  <c r="J26" i="63"/>
  <c r="M26" i="63" s="1"/>
  <c r="F45" i="33" s="1"/>
  <c r="I26" i="63"/>
  <c r="L26" i="63" s="1"/>
  <c r="M25" i="63"/>
  <c r="K25" i="63"/>
  <c r="N25" i="63" s="1"/>
  <c r="J25" i="63"/>
  <c r="I25" i="63"/>
  <c r="L25" i="63" s="1"/>
  <c r="K24" i="63"/>
  <c r="N24" i="63" s="1"/>
  <c r="J24" i="63"/>
  <c r="M24" i="63" s="1"/>
  <c r="I24" i="63"/>
  <c r="L24" i="63" s="1"/>
  <c r="M23" i="63"/>
  <c r="K23" i="63"/>
  <c r="N23" i="63" s="1"/>
  <c r="J42" i="33" s="1"/>
  <c r="J23" i="63"/>
  <c r="I23" i="63"/>
  <c r="L23" i="63" s="1"/>
  <c r="E42" i="33" s="1"/>
  <c r="K42" i="33" s="1"/>
  <c r="K22" i="63"/>
  <c r="N22" i="63" s="1"/>
  <c r="J22" i="63"/>
  <c r="M22" i="63" s="1"/>
  <c r="I22" i="63"/>
  <c r="L22" i="63" s="1"/>
  <c r="M21" i="63"/>
  <c r="K21" i="63"/>
  <c r="N21" i="63" s="1"/>
  <c r="J21" i="63"/>
  <c r="I21" i="63"/>
  <c r="L21" i="63" s="1"/>
  <c r="K20" i="63"/>
  <c r="N20" i="63" s="1"/>
  <c r="J20" i="63"/>
  <c r="M20" i="63" s="1"/>
  <c r="I20" i="63"/>
  <c r="L20" i="63" s="1"/>
  <c r="E32" i="33" s="1"/>
  <c r="K32" i="33" s="1"/>
  <c r="M19" i="63"/>
  <c r="K19" i="63"/>
  <c r="N19" i="63" s="1"/>
  <c r="J31" i="33" s="1"/>
  <c r="J19" i="63"/>
  <c r="I19" i="63"/>
  <c r="L19" i="63" s="1"/>
  <c r="K18" i="63"/>
  <c r="N18" i="63" s="1"/>
  <c r="J18" i="63"/>
  <c r="M18" i="63" s="1"/>
  <c r="I18" i="63"/>
  <c r="L18" i="63" s="1"/>
  <c r="N16" i="63"/>
  <c r="N15" i="63"/>
  <c r="M15" i="63"/>
  <c r="N14" i="63"/>
  <c r="M14" i="63"/>
  <c r="AA13" i="63"/>
  <c r="N13" i="63"/>
  <c r="M13" i="63"/>
  <c r="N12" i="63"/>
  <c r="M12" i="63"/>
  <c r="N11" i="63"/>
  <c r="M11" i="63"/>
  <c r="N3" i="63"/>
  <c r="C34" i="62"/>
  <c r="C32" i="62"/>
  <c r="C31" i="62"/>
  <c r="C30" i="62"/>
  <c r="C29" i="62"/>
  <c r="C8" i="62"/>
  <c r="C7" i="62"/>
  <c r="E5" i="34" s="1"/>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c r="M10" i="55"/>
  <c r="L10" i="55"/>
  <c r="R10" i="55" s="1"/>
  <c r="F10" i="55"/>
  <c r="K8" i="55"/>
  <c r="R2" i="55"/>
  <c r="P2" i="55" a="1"/>
  <c r="P2" i="55"/>
  <c r="M2" i="55"/>
  <c r="P10" i="54" a="1"/>
  <c r="P10" i="54" s="1"/>
  <c r="M10" i="54"/>
  <c r="L10" i="54"/>
  <c r="R10" i="54" s="1"/>
  <c r="K8" i="54"/>
  <c r="J8" i="54"/>
  <c r="G8" i="54"/>
  <c r="F8" i="54"/>
  <c r="R2" i="54"/>
  <c r="P2" i="54" a="1"/>
  <c r="P2" i="54" s="1"/>
  <c r="M2" i="54"/>
  <c r="F2" i="54"/>
  <c r="N9" i="53" a="1"/>
  <c r="N9" i="53" s="1"/>
  <c r="J9" i="53"/>
  <c r="P9" i="53" s="1"/>
  <c r="E5" i="53"/>
  <c r="P2" i="53"/>
  <c r="N2" i="53" a="1"/>
  <c r="N2" i="53"/>
  <c r="G24" i="52"/>
  <c r="G12" i="52"/>
  <c r="F12" i="52"/>
  <c r="F10" i="54" s="1"/>
  <c r="E12" i="52"/>
  <c r="D6" i="52"/>
  <c r="BA115" i="51"/>
  <c r="BA114" i="51"/>
  <c r="BA113" i="51"/>
  <c r="BA102" i="51"/>
  <c r="BA100" i="51"/>
  <c r="BA99" i="51"/>
  <c r="I53" i="51"/>
  <c r="H53" i="51"/>
  <c r="G53" i="51"/>
  <c r="I52" i="51"/>
  <c r="I51" i="51"/>
  <c r="I50" i="51"/>
  <c r="H50" i="51"/>
  <c r="G50" i="51"/>
  <c r="I49" i="51"/>
  <c r="H49" i="51"/>
  <c r="G49" i="51"/>
  <c r="I48" i="51"/>
  <c r="H48" i="51"/>
  <c r="G48" i="51"/>
  <c r="I47" i="51"/>
  <c r="H47" i="51"/>
  <c r="F32" i="51" s="1"/>
  <c r="G47" i="51"/>
  <c r="I46" i="51"/>
  <c r="K45" i="51"/>
  <c r="I45" i="51"/>
  <c r="G44" i="51"/>
  <c r="G51" i="51" s="1"/>
  <c r="G36" i="51"/>
  <c r="E4" i="62" s="1"/>
  <c r="F36" i="51"/>
  <c r="F84" i="48" s="1"/>
  <c r="E32" i="51"/>
  <c r="F29" i="51"/>
  <c r="E29" i="51"/>
  <c r="L5" i="51"/>
  <c r="L4" i="51"/>
  <c r="L3" i="51"/>
  <c r="L6" i="51" s="1"/>
  <c r="I14" i="50"/>
  <c r="G14" i="50"/>
  <c r="G11" i="50"/>
  <c r="G10" i="50"/>
  <c r="G9" i="50"/>
  <c r="D6" i="50"/>
  <c r="E13" i="49"/>
  <c r="H12" i="49"/>
  <c r="E12" i="49"/>
  <c r="E11" i="49"/>
  <c r="E10" i="49"/>
  <c r="D6" i="49"/>
  <c r="D5" i="49"/>
  <c r="M270" i="48"/>
  <c r="F269" i="48"/>
  <c r="F208" i="48"/>
  <c r="F202" i="48"/>
  <c r="G199" i="48"/>
  <c r="F147" i="48"/>
  <c r="G141" i="48"/>
  <c r="F126" i="48"/>
  <c r="G123" i="48"/>
  <c r="G63" i="48"/>
  <c r="F48" i="48"/>
  <c r="G45" i="48"/>
  <c r="M24" i="48"/>
  <c r="G17" i="48"/>
  <c r="F17" i="48"/>
  <c r="G16" i="48"/>
  <c r="F16" i="48"/>
  <c r="N7" i="48"/>
  <c r="N4" i="48"/>
  <c r="N1" i="48"/>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8" i="43"/>
  <c r="H57" i="43"/>
  <c r="H56" i="43"/>
  <c r="H55" i="43"/>
  <c r="I54" i="43"/>
  <c r="H54" i="43" s="1"/>
  <c r="H53" i="43"/>
  <c r="H52" i="43"/>
  <c r="H51" i="43"/>
  <c r="H50" i="43"/>
  <c r="I49" i="43"/>
  <c r="H49" i="43" s="1"/>
  <c r="I48" i="43"/>
  <c r="H48" i="43"/>
  <c r="H47" i="43"/>
  <c r="H46" i="43"/>
  <c r="H45" i="43"/>
  <c r="I44" i="43"/>
  <c r="H44" i="43"/>
  <c r="H43" i="43"/>
  <c r="H42" i="43"/>
  <c r="H41" i="43"/>
  <c r="H40" i="43"/>
  <c r="I39" i="43"/>
  <c r="H39" i="43"/>
  <c r="I38" i="43"/>
  <c r="I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J130" i="33"/>
  <c r="F130" i="33"/>
  <c r="E130" i="33"/>
  <c r="J129" i="33"/>
  <c r="F129" i="33"/>
  <c r="F128" i="33"/>
  <c r="E128" i="33"/>
  <c r="F127" i="33"/>
  <c r="E127" i="33"/>
  <c r="J126" i="33"/>
  <c r="F126" i="33"/>
  <c r="E126" i="33"/>
  <c r="E123" i="33"/>
  <c r="E124" i="33" s="1"/>
  <c r="J120" i="33"/>
  <c r="F120" i="33"/>
  <c r="E120" i="33"/>
  <c r="E121" i="33" s="1"/>
  <c r="J117" i="33"/>
  <c r="F117" i="33"/>
  <c r="F116" i="33"/>
  <c r="E116" i="33"/>
  <c r="J115" i="33"/>
  <c r="F115" i="33"/>
  <c r="E115" i="33"/>
  <c r="F114" i="33"/>
  <c r="E113" i="33"/>
  <c r="J112" i="33"/>
  <c r="F112" i="33"/>
  <c r="E112" i="33"/>
  <c r="J111" i="33"/>
  <c r="F111" i="33"/>
  <c r="F110" i="33"/>
  <c r="E110" i="33"/>
  <c r="J109" i="33"/>
  <c r="F109" i="33"/>
  <c r="E109" i="33"/>
  <c r="J108" i="33"/>
  <c r="F108" i="33"/>
  <c r="E107" i="33"/>
  <c r="F106" i="33"/>
  <c r="E106" i="33"/>
  <c r="J105" i="33"/>
  <c r="F105" i="33"/>
  <c r="F104" i="33"/>
  <c r="E104" i="33"/>
  <c r="J103" i="33"/>
  <c r="F103" i="33"/>
  <c r="E103" i="33"/>
  <c r="F102" i="33"/>
  <c r="E99" i="33"/>
  <c r="E100" i="33" s="1"/>
  <c r="J98" i="33"/>
  <c r="F98" i="33"/>
  <c r="E98" i="33"/>
  <c r="J97" i="33"/>
  <c r="F97" i="33"/>
  <c r="E96" i="33"/>
  <c r="J95" i="33"/>
  <c r="F95" i="33"/>
  <c r="E95" i="33"/>
  <c r="J94" i="33"/>
  <c r="F94" i="33"/>
  <c r="J92" i="33"/>
  <c r="F92" i="33"/>
  <c r="E92" i="33"/>
  <c r="J91" i="33"/>
  <c r="F91" i="33"/>
  <c r="E90" i="33"/>
  <c r="J89" i="33"/>
  <c r="F89" i="33"/>
  <c r="J88" i="33"/>
  <c r="F88" i="33"/>
  <c r="I87" i="33"/>
  <c r="H87" i="33"/>
  <c r="E87" i="33"/>
  <c r="J86" i="33"/>
  <c r="F86" i="33"/>
  <c r="E86" i="33"/>
  <c r="F85" i="33"/>
  <c r="E84" i="33"/>
  <c r="J83" i="33"/>
  <c r="F83" i="33"/>
  <c r="E83" i="33"/>
  <c r="J82" i="33"/>
  <c r="F82" i="33"/>
  <c r="E81" i="33"/>
  <c r="F80" i="33"/>
  <c r="E80" i="33"/>
  <c r="J79" i="33"/>
  <c r="E79" i="33"/>
  <c r="J78" i="33"/>
  <c r="F78" i="33"/>
  <c r="E78" i="33"/>
  <c r="F77" i="33"/>
  <c r="E77" i="33"/>
  <c r="E76" i="33"/>
  <c r="J75" i="33"/>
  <c r="F75" i="33"/>
  <c r="E75" i="33"/>
  <c r="J74" i="33"/>
  <c r="F74" i="33"/>
  <c r="E74" i="33"/>
  <c r="F73" i="33"/>
  <c r="E73" i="33"/>
  <c r="J72" i="33"/>
  <c r="F72" i="33"/>
  <c r="E72" i="33"/>
  <c r="K70" i="33"/>
  <c r="E70" i="33"/>
  <c r="K69" i="33"/>
  <c r="J69" i="33"/>
  <c r="I69" i="33"/>
  <c r="H69" i="33"/>
  <c r="F69" i="33"/>
  <c r="E69" i="33"/>
  <c r="K68" i="33"/>
  <c r="F68" i="33"/>
  <c r="E68" i="33"/>
  <c r="K67" i="33"/>
  <c r="J67" i="33"/>
  <c r="F67" i="33"/>
  <c r="E67" i="33"/>
  <c r="L66" i="33"/>
  <c r="J66" i="33"/>
  <c r="F66" i="33"/>
  <c r="E66" i="33"/>
  <c r="K66" i="33" s="1"/>
  <c r="J65" i="33"/>
  <c r="F65" i="33"/>
  <c r="K64" i="33"/>
  <c r="J64" i="33"/>
  <c r="F64" i="33"/>
  <c r="E64" i="33"/>
  <c r="J63" i="33"/>
  <c r="K62" i="33"/>
  <c r="J62" i="33"/>
  <c r="F62" i="33"/>
  <c r="E62" i="33"/>
  <c r="K61" i="33"/>
  <c r="J61" i="33"/>
  <c r="F61" i="33"/>
  <c r="E61" i="33"/>
  <c r="F60" i="33"/>
  <c r="K59" i="33"/>
  <c r="J59" i="33"/>
  <c r="F59" i="33"/>
  <c r="K58" i="33"/>
  <c r="J58" i="33"/>
  <c r="E58" i="33"/>
  <c r="J57" i="33"/>
  <c r="F57" i="33"/>
  <c r="E57" i="33"/>
  <c r="K57" i="33" s="1"/>
  <c r="K56" i="33"/>
  <c r="J56" i="33"/>
  <c r="F56" i="33"/>
  <c r="E56" i="33"/>
  <c r="J55" i="33"/>
  <c r="J54" i="33"/>
  <c r="E54" i="33"/>
  <c r="K54" i="33" s="1"/>
  <c r="K53" i="33"/>
  <c r="J53" i="33"/>
  <c r="F53" i="33"/>
  <c r="K52" i="33"/>
  <c r="F52" i="33"/>
  <c r="E52" i="33"/>
  <c r="J51" i="33"/>
  <c r="F51" i="33"/>
  <c r="E51" i="33"/>
  <c r="K51" i="33" s="1"/>
  <c r="K50" i="33"/>
  <c r="J50" i="33"/>
  <c r="F50" i="33"/>
  <c r="E50" i="33"/>
  <c r="K49" i="33"/>
  <c r="J49" i="33"/>
  <c r="F49" i="33"/>
  <c r="E49" i="33"/>
  <c r="J48" i="33"/>
  <c r="E48" i="33"/>
  <c r="K48" i="33" s="1"/>
  <c r="K47" i="33"/>
  <c r="J47" i="33"/>
  <c r="F47" i="33"/>
  <c r="K46" i="33"/>
  <c r="J46" i="33"/>
  <c r="F46" i="33"/>
  <c r="E46" i="33"/>
  <c r="E45" i="33"/>
  <c r="K45" i="33" s="1"/>
  <c r="K44" i="33"/>
  <c r="J44" i="33"/>
  <c r="F44" i="33"/>
  <c r="E44" i="33"/>
  <c r="K43" i="33"/>
  <c r="J43" i="33"/>
  <c r="F43" i="33"/>
  <c r="E43" i="33"/>
  <c r="F42" i="33"/>
  <c r="K41" i="33"/>
  <c r="J41" i="33"/>
  <c r="F41" i="33"/>
  <c r="E41" i="33"/>
  <c r="K40" i="33"/>
  <c r="K39" i="33"/>
  <c r="K38" i="33"/>
  <c r="K37" i="33"/>
  <c r="K36" i="33"/>
  <c r="K35" i="33"/>
  <c r="K34" i="33"/>
  <c r="K33" i="33"/>
  <c r="J33" i="33"/>
  <c r="I33" i="33"/>
  <c r="H33" i="33"/>
  <c r="F33" i="33"/>
  <c r="E33" i="33"/>
  <c r="B34" i="33" s="1"/>
  <c r="J32" i="33"/>
  <c r="F32"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J6" i="30"/>
  <c r="K7" i="30" s="1"/>
  <c r="S7"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J45" i="28"/>
  <c r="K46" i="28" s="1"/>
  <c r="S46" i="28" s="1"/>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L46" i="27"/>
  <c r="AK46" i="27"/>
  <c r="AN45" i="27"/>
  <c r="AN44" i="27"/>
  <c r="AN43" i="27"/>
  <c r="AN42" i="27"/>
  <c r="AC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D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L48" i="25"/>
  <c r="K48" i="25"/>
  <c r="S48" i="25" s="1"/>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S6" i="23"/>
  <c r="J6" i="23"/>
  <c r="K7" i="23" s="1"/>
  <c r="S7" i="23" s="1"/>
  <c r="AN5" i="23"/>
  <c r="S5" i="23"/>
  <c r="I5" i="23"/>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S43" i="22"/>
  <c r="I44"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J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G51" i="19"/>
  <c r="U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I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S46" i="15"/>
  <c r="I47" i="15" s="1"/>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S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D44" i="14"/>
  <c r="S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J7" i="13"/>
  <c r="S7"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S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J7" i="11"/>
  <c r="S7"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20"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G144" i="48" s="1"/>
  <c r="AI131" i="5"/>
  <c r="AH131" i="5"/>
  <c r="F144" i="48" s="1"/>
  <c r="AQ126" i="5"/>
  <c r="AP126" i="5"/>
  <c r="S43" i="28" s="1"/>
  <c r="I44" i="28" s="1"/>
  <c r="S44" i="28" s="1"/>
  <c r="AO126" i="5"/>
  <c r="S42" i="28" s="1"/>
  <c r="AN126" i="5"/>
  <c r="S41" i="28" s="1"/>
  <c r="AM126" i="5"/>
  <c r="AL126" i="5"/>
  <c r="AC43" i="28" s="1"/>
  <c r="AK126" i="5"/>
  <c r="AC42" i="28" s="1"/>
  <c r="AJ126" i="5"/>
  <c r="AC41" i="28" s="1"/>
  <c r="AI126" i="5"/>
  <c r="AH126" i="5"/>
  <c r="AQ121" i="5"/>
  <c r="AP121" i="5"/>
  <c r="S43" i="27" s="1"/>
  <c r="I44" i="27" s="1"/>
  <c r="AO121" i="5"/>
  <c r="S42" i="27" s="1"/>
  <c r="AN121" i="5"/>
  <c r="S41" i="27" s="1"/>
  <c r="AM121" i="5"/>
  <c r="AL121" i="5"/>
  <c r="AC43" i="27" s="1"/>
  <c r="AK121" i="5"/>
  <c r="AJ121" i="5"/>
  <c r="AI121" i="5"/>
  <c r="AH121" i="5"/>
  <c r="AQ115" i="5"/>
  <c r="AP115" i="5"/>
  <c r="S48" i="32" s="1"/>
  <c r="K52" i="32" s="1"/>
  <c r="S52" i="32" s="1"/>
  <c r="AO115" i="5"/>
  <c r="S47" i="32" s="1"/>
  <c r="AN115" i="5"/>
  <c r="S46" i="32" s="1"/>
  <c r="AM115" i="5"/>
  <c r="AL115" i="5"/>
  <c r="AD48" i="32" s="1"/>
  <c r="AK115" i="5"/>
  <c r="AD47" i="32" s="1"/>
  <c r="AJ115" i="5"/>
  <c r="G257" i="48" s="1"/>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AO84" i="5"/>
  <c r="S42" i="22" s="1"/>
  <c r="AN84" i="5"/>
  <c r="S41" i="22" s="1"/>
  <c r="AM84" i="5"/>
  <c r="AL84" i="5"/>
  <c r="AC43" i="22" s="1"/>
  <c r="AK84" i="5"/>
  <c r="AC42" i="22" s="1"/>
  <c r="AJ84" i="5"/>
  <c r="G178" i="48" s="1"/>
  <c r="AI84" i="5"/>
  <c r="AH84" i="5"/>
  <c r="F239" i="48" s="1"/>
  <c r="AQ79" i="5"/>
  <c r="AP79" i="5"/>
  <c r="S43" i="21" s="1"/>
  <c r="I44" i="21" s="1"/>
  <c r="S44" i="21" s="1"/>
  <c r="AO79" i="5"/>
  <c r="S42" i="21" s="1"/>
  <c r="AN79" i="5"/>
  <c r="S41" i="21" s="1"/>
  <c r="AM79" i="5"/>
  <c r="AL79" i="5"/>
  <c r="AC43" i="21" s="1"/>
  <c r="AK79" i="5"/>
  <c r="AC42" i="21" s="1"/>
  <c r="AJ79" i="5"/>
  <c r="AI79" i="5"/>
  <c r="AH79" i="5"/>
  <c r="F236" i="48" s="1"/>
  <c r="AQ63" i="5"/>
  <c r="AP63" i="5"/>
  <c r="S45" i="13" s="1"/>
  <c r="AO63" i="5"/>
  <c r="S44" i="13" s="1"/>
  <c r="AN63" i="5"/>
  <c r="AM63" i="5"/>
  <c r="AD46" i="13" s="1"/>
  <c r="AL63" i="5"/>
  <c r="AD45" i="13" s="1"/>
  <c r="AK63" i="5"/>
  <c r="AD44" i="13" s="1"/>
  <c r="AJ63" i="5"/>
  <c r="AD43" i="14" s="1"/>
  <c r="AI63" i="5"/>
  <c r="AH63" i="5"/>
  <c r="AQ58" i="5"/>
  <c r="S45" i="25" s="1"/>
  <c r="I46"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G291" i="48" s="1"/>
  <c r="AI53" i="5"/>
  <c r="AH53" i="5"/>
  <c r="F291" i="48" s="1"/>
  <c r="AQ48" i="5"/>
  <c r="AP48" i="5"/>
  <c r="S45" i="15" s="1"/>
  <c r="AO48" i="5"/>
  <c r="S44" i="15" s="1"/>
  <c r="AN48" i="5"/>
  <c r="S43" i="15" s="1"/>
  <c r="AM48" i="5"/>
  <c r="AD46" i="15" s="1"/>
  <c r="AL48" i="5"/>
  <c r="AD45" i="15" s="1"/>
  <c r="AK48" i="5"/>
  <c r="AJ48" i="5"/>
  <c r="G105" i="48" s="1"/>
  <c r="AI48" i="5"/>
  <c r="AH48" i="5"/>
  <c r="AQ43" i="5"/>
  <c r="S46" i="18" s="1"/>
  <c r="AP43" i="5"/>
  <c r="S45" i="18" s="1"/>
  <c r="AO43" i="5"/>
  <c r="S44" i="18" s="1"/>
  <c r="AN43" i="5"/>
  <c r="S43" i="18" s="1"/>
  <c r="AM43" i="5"/>
  <c r="AD46" i="18" s="1"/>
  <c r="AL43" i="5"/>
  <c r="AD45" i="18" s="1"/>
  <c r="AK43" i="5"/>
  <c r="AD44" i="18" s="1"/>
  <c r="AJ43" i="5"/>
  <c r="AI43" i="5"/>
  <c r="AH43" i="5"/>
  <c r="AQ38" i="5"/>
  <c r="S46" i="17" s="1"/>
  <c r="J48" i="17" s="1"/>
  <c r="AP38" i="5"/>
  <c r="S45" i="17" s="1"/>
  <c r="AO38" i="5"/>
  <c r="S44" i="17" s="1"/>
  <c r="AN38" i="5"/>
  <c r="S43" i="17" s="1"/>
  <c r="AM38" i="5"/>
  <c r="AD46" i="17" s="1"/>
  <c r="AL38" i="5"/>
  <c r="AD45" i="17" s="1"/>
  <c r="AK38" i="5"/>
  <c r="AD44" i="17" s="1"/>
  <c r="AJ38" i="5"/>
  <c r="AD43" i="17" s="1"/>
  <c r="AI38" i="5"/>
  <c r="AH38" i="5"/>
  <c r="F160" i="48" s="1"/>
  <c r="AQ33" i="5"/>
  <c r="U52" i="19" s="1"/>
  <c r="I53" i="19" s="1"/>
  <c r="J54" i="19" s="1"/>
  <c r="U54" i="19" s="1"/>
  <c r="AP33" i="5"/>
  <c r="AO33" i="5"/>
  <c r="U50" i="19" s="1"/>
  <c r="AN33" i="5"/>
  <c r="U49" i="19" s="1"/>
  <c r="AM33" i="5"/>
  <c r="AG52" i="19" s="1"/>
  <c r="AL33" i="5"/>
  <c r="AK33" i="5"/>
  <c r="AG50" i="19" s="1"/>
  <c r="AJ33" i="5"/>
  <c r="AI33" i="5"/>
  <c r="AH33" i="5"/>
  <c r="AQ28" i="5"/>
  <c r="L22" i="64" s="1"/>
  <c r="F23" i="64" s="1"/>
  <c r="AP28" i="5"/>
  <c r="AO28" i="5"/>
  <c r="L20" i="64" s="1"/>
  <c r="AN28" i="5"/>
  <c r="AM28" i="5"/>
  <c r="AL28" i="5"/>
  <c r="O21" i="64" s="1"/>
  <c r="AK28" i="5"/>
  <c r="AJ28" i="5"/>
  <c r="G215" i="48" s="1"/>
  <c r="AI28" i="5"/>
  <c r="AH28" i="5"/>
  <c r="AQ23" i="5"/>
  <c r="AP23" i="5"/>
  <c r="AO23" i="5"/>
  <c r="AN23" i="5"/>
  <c r="AM23" i="5"/>
  <c r="AL23" i="5"/>
  <c r="AK23" i="5"/>
  <c r="AJ23" i="5"/>
  <c r="AI23" i="5"/>
  <c r="AH23" i="5"/>
  <c r="AQ18" i="5"/>
  <c r="S46" i="12" s="1"/>
  <c r="I47" i="12" s="1"/>
  <c r="AP18" i="5"/>
  <c r="AO18" i="5"/>
  <c r="S44" i="12" s="1"/>
  <c r="AN18" i="5"/>
  <c r="S43" i="12" s="1"/>
  <c r="AM18" i="5"/>
  <c r="AD46" i="12" s="1"/>
  <c r="AL18" i="5"/>
  <c r="AD45" i="12" s="1"/>
  <c r="AK18" i="5"/>
  <c r="AJ18" i="5"/>
  <c r="G27" i="48" s="1"/>
  <c r="AI18" i="5"/>
  <c r="AH18" i="5"/>
  <c r="F273" i="48" s="1"/>
  <c r="AQ13" i="5"/>
  <c r="S46" i="11" s="1"/>
  <c r="I47" i="11" s="1"/>
  <c r="AP13" i="5"/>
  <c r="S45" i="11" s="1"/>
  <c r="AO13" i="5"/>
  <c r="S44" i="11" s="1"/>
  <c r="AN13" i="5"/>
  <c r="S43" i="11" s="1"/>
  <c r="AM13" i="5"/>
  <c r="AD46" i="11" s="1"/>
  <c r="AL13" i="5"/>
  <c r="AD45" i="11" s="1"/>
  <c r="AK13" i="5"/>
  <c r="AD44" i="11" s="1"/>
  <c r="AJ13" i="5"/>
  <c r="AI13" i="5"/>
  <c r="AH13" i="5"/>
  <c r="F87" i="48" s="1"/>
  <c r="D6" i="5"/>
  <c r="D5" i="5"/>
  <c r="R13" i="4"/>
  <c r="P13" i="4"/>
  <c r="E13" i="4"/>
  <c r="E7" i="4"/>
  <c r="D5" i="4"/>
  <c r="O14" i="3"/>
  <c r="M14" i="3" a="1"/>
  <c r="M14" i="3"/>
  <c r="E14" i="3"/>
  <c r="O13" i="3"/>
  <c r="M13" i="3" a="1"/>
  <c r="M13" i="3"/>
  <c r="J13" i="3"/>
  <c r="E13" i="3"/>
  <c r="E12" i="3"/>
  <c r="G12" i="3" s="1"/>
  <c r="I13" i="4" s="1"/>
  <c r="Q13" i="4" s="1"/>
  <c r="E4" i="3"/>
  <c r="E59" i="2"/>
  <c r="E49" i="2"/>
  <c r="E41" i="2"/>
  <c r="E31" i="2"/>
  <c r="E27" i="2"/>
  <c r="E26" i="2"/>
  <c r="F25" i="2"/>
  <c r="E22" i="2"/>
  <c r="E21" i="2"/>
  <c r="F20" i="2"/>
  <c r="E19" i="2"/>
  <c r="I9" i="2"/>
  <c r="E3" i="2"/>
  <c r="E2" i="2"/>
  <c r="H51" i="51" l="1"/>
  <c r="D36" i="7"/>
  <c r="D37" i="7"/>
  <c r="D38" i="7" s="1"/>
  <c r="D39" i="7" s="1"/>
  <c r="D35" i="7"/>
  <c r="D34" i="7"/>
  <c r="K7" i="28"/>
  <c r="S7" i="28" s="1"/>
  <c r="S6" i="28"/>
  <c r="S7" i="17"/>
  <c r="K8" i="17"/>
  <c r="S8" i="17" s="1"/>
  <c r="J48" i="15"/>
  <c r="S47" i="15"/>
  <c r="J46" i="31"/>
  <c r="S45" i="31"/>
  <c r="J45" i="24"/>
  <c r="S44" i="24"/>
  <c r="K8" i="16"/>
  <c r="S8" i="16" s="1"/>
  <c r="S7" i="16"/>
  <c r="J46" i="30"/>
  <c r="S45" i="30"/>
  <c r="J45" i="27"/>
  <c r="S44" i="27"/>
  <c r="J7" i="14"/>
  <c r="S6" i="14"/>
  <c r="S7" i="18"/>
  <c r="K8" i="18"/>
  <c r="S8" i="18" s="1"/>
  <c r="I27" i="40"/>
  <c r="I10" i="50"/>
  <c r="M11" i="35"/>
  <c r="H15" i="34"/>
  <c r="I26" i="33"/>
  <c r="I8" i="39"/>
  <c r="I11" i="37"/>
  <c r="I11" i="38"/>
  <c r="H10" i="45"/>
  <c r="S47" i="12"/>
  <c r="J48" i="12"/>
  <c r="S47" i="11"/>
  <c r="J48" i="11"/>
  <c r="J7" i="12"/>
  <c r="S6" i="12"/>
  <c r="H31" i="33"/>
  <c r="H136" i="33" s="1"/>
  <c r="G175" i="48"/>
  <c r="G114" i="48"/>
  <c r="G297" i="48"/>
  <c r="G51" i="48"/>
  <c r="F251" i="48"/>
  <c r="F129" i="48"/>
  <c r="F190" i="48"/>
  <c r="K51" i="20"/>
  <c r="S51" i="20" s="1"/>
  <c r="J50" i="20"/>
  <c r="I49" i="20"/>
  <c r="K8" i="13"/>
  <c r="S8" i="13" s="1"/>
  <c r="S45" i="14"/>
  <c r="S44" i="16"/>
  <c r="K8" i="19"/>
  <c r="U7" i="19"/>
  <c r="J6" i="22"/>
  <c r="S5" i="22"/>
  <c r="F66" i="48"/>
  <c r="G270" i="48"/>
  <c r="G24" i="48"/>
  <c r="G209" i="48"/>
  <c r="G148" i="48"/>
  <c r="G5" i="48"/>
  <c r="G285" i="48"/>
  <c r="G39" i="48"/>
  <c r="AD43" i="18"/>
  <c r="G224" i="48"/>
  <c r="G163" i="48"/>
  <c r="F157" i="48"/>
  <c r="F96" i="48"/>
  <c r="F279" i="48"/>
  <c r="F33" i="48"/>
  <c r="F215" i="48"/>
  <c r="F93" i="48"/>
  <c r="F154" i="48"/>
  <c r="F276" i="48"/>
  <c r="F30" i="48"/>
  <c r="G96" i="48"/>
  <c r="AG49" i="19"/>
  <c r="G279" i="48"/>
  <c r="G33" i="48"/>
  <c r="F233" i="48"/>
  <c r="F111" i="48"/>
  <c r="F172" i="48"/>
  <c r="J45" i="23"/>
  <c r="S44" i="23"/>
  <c r="F309" i="48"/>
  <c r="F63" i="48"/>
  <c r="F248" i="48"/>
  <c r="F187" i="48"/>
  <c r="G251" i="48"/>
  <c r="G190" i="48"/>
  <c r="AG42" i="30"/>
  <c r="G129" i="48"/>
  <c r="F327" i="48"/>
  <c r="F81" i="48"/>
  <c r="F266" i="48"/>
  <c r="F205" i="48"/>
  <c r="K8" i="11"/>
  <c r="S8" i="11" s="1"/>
  <c r="AD43" i="13"/>
  <c r="AD45" i="14"/>
  <c r="J6" i="24"/>
  <c r="S5" i="24"/>
  <c r="S6" i="30"/>
  <c r="G66" i="48"/>
  <c r="G273" i="48"/>
  <c r="J47" i="51"/>
  <c r="J45" i="51" s="1"/>
  <c r="E5" i="2" s="1"/>
  <c r="E31" i="62"/>
  <c r="J6" i="31"/>
  <c r="S5" i="31"/>
  <c r="G193" i="48"/>
  <c r="AG42" i="31"/>
  <c r="G132" i="48"/>
  <c r="G315" i="48"/>
  <c r="G69" i="48"/>
  <c r="J45" i="21"/>
  <c r="J45" i="22"/>
  <c r="S44" i="22"/>
  <c r="F218" i="48"/>
  <c r="F5" i="43"/>
  <c r="F5" i="42"/>
  <c r="F5" i="44"/>
  <c r="F5" i="41"/>
  <c r="F254" i="48"/>
  <c r="F193" i="48"/>
  <c r="F132" i="48"/>
  <c r="F315" i="48"/>
  <c r="F69" i="48"/>
  <c r="G135" i="48"/>
  <c r="G318" i="48"/>
  <c r="G72" i="48"/>
  <c r="K7" i="21"/>
  <c r="S7" i="21" s="1"/>
  <c r="S6" i="21"/>
  <c r="I10" i="38"/>
  <c r="I10" i="37"/>
  <c r="I26" i="40"/>
  <c r="H9" i="45"/>
  <c r="I9" i="50"/>
  <c r="M10" i="35"/>
  <c r="H14" i="34"/>
  <c r="I25" i="33"/>
  <c r="K8" i="15"/>
  <c r="S8" i="15" s="1"/>
  <c r="AD45" i="16"/>
  <c r="O19" i="64"/>
  <c r="G154" i="48"/>
  <c r="G93" i="48"/>
  <c r="G276" i="48"/>
  <c r="G30" i="48"/>
  <c r="F230" i="48"/>
  <c r="F169" i="48"/>
  <c r="F108" i="48"/>
  <c r="G233" i="48"/>
  <c r="AC42" i="25"/>
  <c r="G172" i="48"/>
  <c r="G111" i="48"/>
  <c r="G294" i="48"/>
  <c r="G48" i="48"/>
  <c r="F306" i="48"/>
  <c r="F60" i="48"/>
  <c r="F245" i="48"/>
  <c r="F184" i="48"/>
  <c r="G248" i="48"/>
  <c r="G187" i="48"/>
  <c r="G126" i="48"/>
  <c r="F141" i="48"/>
  <c r="F324" i="48"/>
  <c r="F78" i="48"/>
  <c r="F263" i="48"/>
  <c r="G327" i="48"/>
  <c r="G81" i="48"/>
  <c r="G266" i="48"/>
  <c r="AD46" i="29"/>
  <c r="G205" i="48"/>
  <c r="AD43" i="12"/>
  <c r="AD46" i="14"/>
  <c r="AD43" i="15"/>
  <c r="S5" i="28"/>
  <c r="G157" i="48"/>
  <c r="G218" i="48"/>
  <c r="G24" i="64"/>
  <c r="L23" i="64"/>
  <c r="G99" i="48"/>
  <c r="G282" i="48"/>
  <c r="G36" i="48"/>
  <c r="G221" i="48"/>
  <c r="M12" i="35"/>
  <c r="I27" i="33"/>
  <c r="H16" i="34"/>
  <c r="I9" i="39"/>
  <c r="I12" i="37"/>
  <c r="I12" i="38"/>
  <c r="O20" i="64"/>
  <c r="AD44" i="16"/>
  <c r="J48" i="18"/>
  <c r="I47" i="18"/>
  <c r="S46" i="16"/>
  <c r="K55" i="19"/>
  <c r="I28" i="40"/>
  <c r="G87" i="48"/>
  <c r="F294" i="48"/>
  <c r="U14" i="63"/>
  <c r="E6" i="62"/>
  <c r="E32" i="62"/>
  <c r="E5" i="55"/>
  <c r="D5" i="52"/>
  <c r="F23" i="48"/>
  <c r="E38" i="47"/>
  <c r="U148" i="63"/>
  <c r="AA16" i="63"/>
  <c r="AA12" i="63"/>
  <c r="E30" i="62"/>
  <c r="E5" i="54"/>
  <c r="E3" i="62"/>
  <c r="AA15" i="63"/>
  <c r="E29" i="62"/>
  <c r="J50" i="51"/>
  <c r="E42" i="47"/>
  <c r="E35" i="47"/>
  <c r="M209" i="48"/>
  <c r="E32" i="47"/>
  <c r="E24" i="52"/>
  <c r="J46" i="51"/>
  <c r="E31" i="47"/>
  <c r="AA11" i="63"/>
  <c r="J49" i="51"/>
  <c r="E28" i="47"/>
  <c r="E5" i="62"/>
  <c r="J52" i="51"/>
  <c r="M148" i="48"/>
  <c r="E25" i="47"/>
  <c r="U15" i="63"/>
  <c r="E14" i="48"/>
  <c r="E24" i="47"/>
  <c r="J51" i="51"/>
  <c r="M87" i="48"/>
  <c r="G196" i="48"/>
  <c r="F212" i="48"/>
  <c r="F151" i="48"/>
  <c r="F90" i="48"/>
  <c r="F288" i="48"/>
  <c r="F42" i="48"/>
  <c r="F227" i="48"/>
  <c r="F166" i="48"/>
  <c r="G230" i="48"/>
  <c r="G169" i="48"/>
  <c r="AB45" i="20"/>
  <c r="G108" i="48"/>
  <c r="S43" i="13"/>
  <c r="S43" i="14"/>
  <c r="F303" i="48"/>
  <c r="F181" i="48"/>
  <c r="F57" i="48"/>
  <c r="F120" i="48"/>
  <c r="F242" i="48"/>
  <c r="G306" i="48"/>
  <c r="G60" i="48"/>
  <c r="G245" i="48"/>
  <c r="G184" i="48"/>
  <c r="AC41" i="24"/>
  <c r="F321" i="48"/>
  <c r="F199" i="48"/>
  <c r="F75" i="48"/>
  <c r="F138" i="48"/>
  <c r="F260" i="48"/>
  <c r="G324" i="48"/>
  <c r="G78" i="48"/>
  <c r="G263" i="48"/>
  <c r="G202" i="48"/>
  <c r="G102" i="48"/>
  <c r="G160" i="48"/>
  <c r="G236" i="48"/>
  <c r="G309" i="48"/>
  <c r="S45" i="28"/>
  <c r="G2" i="48"/>
  <c r="O22" i="64"/>
  <c r="AD46" i="16"/>
  <c r="J6" i="27"/>
  <c r="S5" i="27"/>
  <c r="H11" i="45"/>
  <c r="F27" i="48"/>
  <c r="F105" i="48"/>
  <c r="F178" i="48"/>
  <c r="F312" i="48"/>
  <c r="H52" i="51"/>
  <c r="G46" i="51"/>
  <c r="H46" i="51"/>
  <c r="G52" i="51"/>
  <c r="L21" i="64"/>
  <c r="S45" i="16"/>
  <c r="F175" i="48"/>
  <c r="F114" i="48"/>
  <c r="F297" i="48"/>
  <c r="F51" i="48"/>
  <c r="I31" i="33"/>
  <c r="I136" i="33" s="1"/>
  <c r="K49" i="17"/>
  <c r="S49" i="17" s="1"/>
  <c r="S48" i="17"/>
  <c r="J47" i="25"/>
  <c r="I7" i="39"/>
  <c r="G254" i="48"/>
  <c r="G312" i="48"/>
  <c r="I11" i="50"/>
  <c r="F99" i="48"/>
  <c r="F282" i="48"/>
  <c r="F36" i="48"/>
  <c r="F221" i="48"/>
  <c r="G117" i="48"/>
  <c r="G300" i="48"/>
  <c r="G54" i="48"/>
  <c r="AC41" i="22"/>
  <c r="G239" i="48"/>
  <c r="AD43" i="11"/>
  <c r="F270" i="48"/>
  <c r="F24" i="48"/>
  <c r="F209" i="48"/>
  <c r="F148" i="48"/>
  <c r="G212" i="48"/>
  <c r="G151" i="48"/>
  <c r="G90" i="48"/>
  <c r="L19" i="64"/>
  <c r="S43" i="16"/>
  <c r="F285" i="48"/>
  <c r="F163" i="48"/>
  <c r="F39" i="48"/>
  <c r="F102" i="48"/>
  <c r="F224" i="48"/>
  <c r="G288" i="48"/>
  <c r="G42" i="48"/>
  <c r="G227" i="48"/>
  <c r="G166" i="48"/>
  <c r="F117" i="48"/>
  <c r="F300" i="48"/>
  <c r="F54" i="48"/>
  <c r="G120" i="48"/>
  <c r="AC41" i="23"/>
  <c r="G303" i="48"/>
  <c r="G57" i="48"/>
  <c r="G242" i="48"/>
  <c r="F196" i="48"/>
  <c r="F135" i="48"/>
  <c r="F318" i="48"/>
  <c r="F72" i="48"/>
  <c r="G138" i="48"/>
  <c r="AC41" i="27"/>
  <c r="G321" i="48"/>
  <c r="G75" i="48"/>
  <c r="G260" i="48"/>
  <c r="S46" i="13"/>
  <c r="I47" i="13" s="1"/>
  <c r="S46" i="14"/>
  <c r="I47" i="14" s="1"/>
  <c r="AC41" i="21"/>
  <c r="AD46" i="32"/>
  <c r="F45" i="48"/>
  <c r="F123" i="48"/>
  <c r="G181" i="48"/>
  <c r="F257" i="48"/>
  <c r="F2" i="55"/>
  <c r="S6" i="15"/>
  <c r="I6" i="20"/>
  <c r="J7" i="20"/>
  <c r="J48" i="13" l="1"/>
  <c r="S47" i="13"/>
  <c r="D4" i="4"/>
  <c r="B5" i="1"/>
  <c r="K49" i="12"/>
  <c r="S49" i="12" s="1"/>
  <c r="S48" i="12"/>
  <c r="K47" i="31"/>
  <c r="S47" i="31" s="1"/>
  <c r="S46" i="31"/>
  <c r="S47" i="14"/>
  <c r="J48" i="14"/>
  <c r="K46" i="22"/>
  <c r="S46" i="22" s="1"/>
  <c r="S45" i="22"/>
  <c r="K8" i="14"/>
  <c r="S8" i="14" s="1"/>
  <c r="S7" i="14"/>
  <c r="K49" i="15"/>
  <c r="S49" i="15" s="1"/>
  <c r="S48" i="15"/>
  <c r="K46" i="21"/>
  <c r="S46" i="21" s="1"/>
  <c r="S45" i="21"/>
  <c r="K7" i="22"/>
  <c r="S7" i="22" s="1"/>
  <c r="S6" i="22"/>
  <c r="K46" i="27"/>
  <c r="S46" i="27" s="1"/>
  <c r="S45" i="27"/>
  <c r="K7" i="24"/>
  <c r="S7" i="24" s="1"/>
  <c r="S6" i="24"/>
  <c r="U8" i="19"/>
  <c r="L9" i="19"/>
  <c r="U9" i="19" s="1"/>
  <c r="L56" i="19"/>
  <c r="U56" i="19" s="1"/>
  <c r="U55" i="19"/>
  <c r="K47" i="30"/>
  <c r="S47" i="30" s="1"/>
  <c r="S46" i="30"/>
  <c r="J48" i="16"/>
  <c r="I47" i="16"/>
  <c r="L24" i="64"/>
  <c r="H25" i="64"/>
  <c r="L25" i="64" s="1"/>
  <c r="K49" i="18"/>
  <c r="S49" i="18" s="1"/>
  <c r="S48" i="18"/>
  <c r="S7" i="12"/>
  <c r="K8" i="12"/>
  <c r="S8" i="12" s="1"/>
  <c r="D43" i="7"/>
  <c r="D44" i="7" s="1"/>
  <c r="D45" i="7" s="1"/>
  <c r="D41" i="7"/>
  <c r="D40" i="7"/>
  <c r="S6" i="27"/>
  <c r="K7" i="27"/>
  <c r="S7" i="27" s="1"/>
  <c r="S6" i="31"/>
  <c r="K7" i="31"/>
  <c r="S7" i="31" s="1"/>
  <c r="K46" i="23"/>
  <c r="S46" i="23" s="1"/>
  <c r="S45" i="23"/>
  <c r="K49" i="11"/>
  <c r="S49" i="11" s="1"/>
  <c r="S48" i="11"/>
  <c r="K46" i="24"/>
  <c r="S46" i="24" s="1"/>
  <c r="S45" i="24"/>
  <c r="S48" i="14" l="1"/>
  <c r="K49" i="14"/>
  <c r="S49" i="14" s="1"/>
  <c r="K49" i="16"/>
  <c r="S49" i="16" s="1"/>
  <c r="S48" i="16"/>
  <c r="D51" i="7"/>
  <c r="D49" i="7"/>
  <c r="D48" i="7"/>
  <c r="D47" i="7"/>
  <c r="D46" i="7"/>
  <c r="K49" i="13"/>
  <c r="S49" i="13" s="1"/>
  <c r="S4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<sst xmlns="http://schemas.openxmlformats.org/spreadsheetml/2006/main" count="28971" uniqueCount="6598">
  <si>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</si>
  <si>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</si>
  <si>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</si>
  <si>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</si>
  <si>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</si>
  <si>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</si>
  <si>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</si>
  <si>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</si>
  <si>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</si>
  <si>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</si>
  <si>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</si>
  <si>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</si>
  <si>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</si>
  <si>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26405671</t>
  </si>
  <si>
    <t>Flag_Row_Size</t>
  </si>
  <si>
    <t>Субъект РФ</t>
  </si>
  <si>
    <t>Республика Татарстан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</si>
  <si>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</si>
  <si>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</si>
  <si>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</si>
  <si>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</si>
  <si>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</si>
  <si>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</si>
  <si>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</si>
  <si>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</si>
  <si>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</si>
  <si>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</si>
  <si>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</si>
  <si>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</si>
  <si>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</si>
  <si>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</si>
  <si>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</si>
  <si>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</si>
  <si>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</si>
  <si>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</si>
  <si>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</si>
  <si>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</si>
  <si>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</si>
  <si>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</si>
  <si>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</si>
  <si>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</si>
  <si>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</si>
  <si>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</si>
  <si>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</si>
  <si>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</si>
  <si>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</si>
  <si>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"Инженерные сети"</t>
  </si>
  <si>
    <t>Наименование (описание) обособленного подразделения</t>
  </si>
  <si>
    <t>ИНН</t>
  </si>
  <si>
    <t>1623009998</t>
  </si>
  <si>
    <t>КПП</t>
  </si>
  <si>
    <t>162301001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</si>
  <si>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</si>
  <si>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</si>
  <si>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</si>
  <si>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</si>
  <si>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</si>
  <si>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</si>
  <si>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</si>
  <si>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</si>
  <si>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</si>
  <si>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</si>
  <si>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</si>
  <si>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</si>
  <si>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</si>
  <si>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</si>
  <si>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</si>
  <si>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</si>
  <si>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</si>
  <si>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</si>
  <si>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422110,РТ,г.Кукмор,ул.Ленина, д.148</t>
  </si>
  <si>
    <t>Фамилия, имя, отчество руководителя</t>
  </si>
  <si>
    <t>Гимадиев Наиль Габдулхаевич</t>
  </si>
  <si>
    <t>Ответственный за заполнение формы</t>
  </si>
  <si>
    <t>Фамилия, имя, отчество</t>
  </si>
  <si>
    <t>Нигматуллина Руфина Мухариамовна</t>
  </si>
  <si>
    <t>Должность</t>
  </si>
  <si>
    <t>начальник ОЭП</t>
  </si>
  <si>
    <t>Контактный телефон</t>
  </si>
  <si>
    <t>8 84364 2 64 40</t>
  </si>
  <si>
    <t>E-mail</t>
  </si>
  <si>
    <t>mppgkh_kuk@mail.ru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</si>
  <si>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</si>
  <si>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</si>
  <si>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</si>
  <si>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</si>
  <si>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</si>
  <si>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</si>
  <si>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</si>
  <si>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</si>
  <si>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</si>
  <si>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</si>
  <si>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</si>
  <si>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</si>
  <si>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</si>
  <si>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</si>
  <si>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</si>
  <si>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</si>
  <si>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</si>
  <si>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527</t>
  </si>
  <si>
    <t>Кукморский муниципальный район</t>
  </si>
  <si>
    <t>город Кукмор</t>
  </si>
  <si>
    <t>92633101</t>
  </si>
  <si>
    <t>2</t>
  </si>
  <si>
    <t>×</t>
  </si>
  <si>
    <t>512</t>
  </si>
  <si>
    <t>Ныртинское</t>
  </si>
  <si>
    <t>92633444</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</si>
  <si>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</si>
  <si>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</si>
  <si>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</si>
  <si>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</si>
  <si>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</si>
  <si>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</si>
  <si>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</si>
  <si>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</si>
  <si>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</si>
  <si>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</si>
  <si>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</si>
  <si>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</si>
  <si>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</si>
  <si>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</si>
  <si>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</si>
  <si>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</si>
  <si>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</si>
  <si>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</si>
  <si>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</si>
  <si>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</si>
  <si>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</si>
  <si>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</si>
  <si>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</si>
  <si>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</si>
  <si>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</si>
  <si>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</si>
  <si>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</si>
  <si>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</si>
  <si>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</si>
  <si>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</si>
  <si>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</si>
  <si>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</si>
  <si>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</si>
  <si>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</si>
  <si>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</si>
  <si>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</si>
  <si>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</si>
  <si>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</si>
  <si>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</si>
  <si>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</si>
  <si>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</si>
  <si>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</si>
  <si>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</si>
  <si>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</si>
  <si>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</si>
  <si>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</si>
  <si>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</si>
  <si>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</si>
  <si>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</si>
  <si>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</si>
  <si>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</si>
  <si>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</si>
  <si>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</si>
  <si>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</si>
  <si>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</si>
  <si>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</si>
  <si>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</si>
  <si>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</si>
  <si>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</si>
  <si>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</si>
  <si>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</si>
  <si>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</si>
  <si>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</si>
  <si>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</si>
  <si>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</si>
  <si>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</si>
  <si>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</si>
  <si>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</si>
  <si>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</si>
  <si>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</si>
  <si>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</si>
  <si>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</si>
  <si>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</si>
  <si>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</si>
  <si>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</si>
  <si>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</si>
  <si>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</si>
  <si>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</si>
  <si>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</si>
  <si>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</si>
  <si>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</si>
  <si>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</si>
  <si>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</si>
  <si>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</si>
  <si>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</si>
  <si>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</si>
  <si>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</si>
  <si>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</si>
  <si>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</si>
  <si>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</si>
  <si>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</si>
  <si>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</si>
  <si>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</si>
  <si>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</si>
  <si>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</si>
  <si>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</si>
  <si>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</si>
  <si>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</si>
  <si>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</si>
  <si>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</si>
  <si>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</si>
  <si>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</si>
  <si>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</si>
  <si>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</si>
  <si>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</si>
  <si>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</si>
  <si>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</si>
  <si>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</si>
  <si>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</si>
  <si>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</si>
  <si>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</si>
  <si>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</si>
  <si>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</si>
  <si>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</si>
  <si>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</si>
  <si>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</si>
  <si>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</si>
  <si>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</si>
  <si>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</si>
  <si>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</si>
  <si>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</si>
  <si>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</si>
  <si>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</si>
  <si>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</si>
  <si>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</si>
  <si>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</si>
  <si>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</si>
  <si>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</si>
  <si>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</si>
  <si>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</si>
  <si>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</si>
  <si>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</si>
  <si>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</si>
  <si>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</si>
  <si>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</si>
  <si>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</si>
  <si>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</si>
  <si>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</si>
  <si>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</si>
  <si>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</si>
  <si>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</si>
  <si>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</si>
  <si>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</si>
  <si>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</si>
  <si>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</si>
  <si>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</si>
  <si>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</si>
  <si>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</si>
  <si>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</si>
  <si>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</si>
  <si>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</si>
  <si>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</si>
  <si>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</si>
  <si>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</si>
  <si>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</si>
  <si>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</si>
  <si>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</si>
  <si>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</si>
  <si>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</si>
  <si>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</si>
  <si>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</si>
  <si>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</si>
  <si>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</si>
  <si>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</si>
  <si>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</si>
  <si>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</si>
  <si>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</si>
  <si>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</si>
  <si>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</si>
  <si>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</si>
  <si>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</si>
  <si>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</si>
  <si>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</si>
  <si>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</si>
  <si>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</si>
  <si>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</si>
  <si>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</si>
  <si>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</si>
  <si>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</si>
  <si>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</si>
  <si>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</si>
  <si>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</si>
  <si>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</si>
  <si>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</si>
  <si>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</si>
  <si>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</si>
  <si>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</si>
  <si>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</si>
  <si>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</si>
  <si>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</si>
  <si>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</si>
  <si>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</si>
  <si>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</si>
  <si>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</si>
  <si>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</si>
  <si>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</si>
  <si>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</si>
  <si>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</si>
  <si>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</si>
  <si>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</si>
  <si>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</si>
  <si>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</si>
  <si>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</si>
  <si>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</si>
  <si>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</si>
  <si>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</si>
  <si>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</si>
  <si>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</si>
  <si>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</si>
  <si>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</si>
  <si>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</si>
  <si>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</si>
  <si>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</si>
  <si>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</si>
  <si>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</si>
  <si>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</si>
  <si>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</si>
  <si>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</si>
  <si>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</si>
  <si>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</si>
  <si>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</si>
  <si>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</si>
  <si>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</si>
  <si>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</si>
  <si>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</si>
  <si>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</si>
  <si>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</si>
  <si>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</si>
  <si>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</si>
  <si>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</si>
  <si>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</si>
  <si>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</si>
  <si>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</si>
  <si>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</si>
  <si>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</si>
  <si>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</si>
  <si>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</si>
  <si>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</si>
  <si>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</si>
  <si>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</si>
  <si>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</si>
  <si>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</si>
  <si>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</si>
  <si>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</si>
  <si>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</si>
  <si>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</si>
  <si>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</si>
  <si>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</si>
  <si>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</si>
  <si>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</si>
  <si>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</si>
  <si>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</si>
  <si>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</si>
  <si>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</si>
  <si>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</si>
  <si>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</si>
  <si>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</si>
  <si>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</si>
  <si>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</si>
  <si>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</si>
  <si>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</si>
  <si>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</si>
  <si>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</si>
  <si>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</si>
  <si>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</si>
  <si>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</si>
  <si>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</si>
  <si>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</si>
  <si>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</si>
  <si>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</si>
  <si>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</si>
  <si>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</si>
  <si>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</si>
  <si>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</si>
  <si>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</si>
  <si>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</si>
  <si>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</si>
  <si>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</si>
  <si>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</si>
  <si>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</si>
  <si>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</si>
  <si>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</si>
  <si>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</si>
  <si>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</si>
  <si>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</si>
  <si>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</si>
  <si>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</si>
  <si>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</si>
  <si>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</si>
  <si>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</si>
  <si>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</si>
  <si>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</si>
  <si>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</si>
  <si>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</si>
  <si>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</si>
  <si>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</si>
  <si>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</si>
  <si>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</si>
  <si>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</si>
  <si>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</si>
  <si>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</si>
  <si>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</si>
  <si>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</si>
  <si>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</si>
  <si>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</si>
  <si>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</si>
  <si>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</si>
  <si>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</si>
  <si>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</si>
  <si>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</si>
  <si>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</si>
  <si>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</si>
  <si>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</si>
  <si>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</si>
  <si>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</si>
  <si>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</si>
  <si>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</si>
  <si>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</si>
  <si>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</si>
  <si>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</si>
  <si>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</si>
  <si>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</si>
  <si>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</si>
  <si>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</si>
  <si>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</si>
  <si>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</si>
  <si>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</si>
  <si>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</si>
  <si>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</si>
  <si>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</si>
  <si>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</si>
  <si>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</si>
  <si>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</si>
  <si>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</si>
  <si>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</si>
  <si>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</si>
  <si>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</si>
  <si>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</si>
  <si>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</si>
  <si>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</si>
  <si>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</si>
  <si>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</si>
  <si>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</si>
  <si>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</si>
  <si>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</si>
  <si>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</si>
  <si>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</si>
  <si>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</si>
  <si>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</si>
  <si>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</si>
  <si>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</si>
  <si>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</si>
  <si>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</si>
  <si>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</si>
  <si>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</si>
  <si>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</si>
  <si>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</si>
  <si>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</si>
  <si>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</si>
  <si>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</si>
  <si>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</si>
  <si>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</si>
  <si>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</si>
  <si>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</si>
  <si>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</si>
  <si>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</si>
  <si>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</si>
  <si>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</si>
  <si>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</si>
  <si>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</si>
  <si>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</si>
  <si>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</si>
  <si>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</si>
  <si>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</si>
  <si>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</si>
  <si>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</si>
  <si>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</si>
  <si>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</si>
  <si>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</si>
  <si>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</si>
  <si>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</si>
  <si>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</si>
  <si>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</si>
  <si>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</si>
  <si>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</si>
  <si>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</si>
  <si>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</si>
  <si>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</si>
  <si>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</si>
  <si>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</si>
  <si>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</si>
  <si>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</si>
  <si>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</si>
  <si>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</si>
  <si>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</si>
  <si>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</si>
  <si>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</si>
  <si>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</si>
  <si>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</si>
  <si>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</si>
  <si>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</si>
  <si>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</si>
  <si>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</si>
  <si>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</si>
  <si>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</si>
  <si>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</si>
  <si>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</si>
  <si>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</si>
  <si>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</si>
  <si>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</si>
  <si>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</si>
  <si>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</si>
  <si>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</si>
  <si>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</si>
  <si>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</si>
  <si>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</si>
  <si>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</si>
  <si>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</si>
  <si>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</si>
  <si>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</si>
  <si>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</si>
  <si>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</si>
  <si>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</si>
  <si>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</si>
  <si>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</si>
  <si>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</si>
  <si>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</si>
  <si>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</si>
  <si>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</si>
  <si>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</si>
  <si>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</si>
  <si>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</si>
  <si>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</si>
  <si>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</si>
  <si>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</si>
  <si>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</si>
  <si>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</si>
  <si>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</si>
  <si>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</si>
  <si>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</si>
  <si>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</si>
  <si>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</si>
  <si>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</si>
  <si>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</si>
  <si>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</si>
  <si>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</si>
  <si>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</si>
  <si>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</si>
  <si>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</si>
  <si>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</si>
  <si>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</si>
  <si>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</si>
  <si>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</si>
  <si>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</si>
  <si>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</si>
  <si>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</si>
  <si>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</si>
  <si>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</si>
  <si>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</si>
  <si>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</si>
  <si>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</si>
  <si>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</si>
  <si>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</si>
  <si>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</si>
  <si>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</si>
  <si>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</si>
  <si>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</si>
  <si>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</si>
  <si>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</si>
  <si>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</si>
  <si>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</si>
  <si>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</si>
  <si>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</si>
  <si>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</si>
  <si>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</si>
  <si>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</si>
  <si>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</si>
  <si>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</si>
  <si>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</si>
  <si>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</si>
  <si>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</si>
  <si>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</si>
  <si>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</si>
  <si>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</si>
  <si>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</si>
  <si>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</si>
  <si>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</si>
  <si>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</si>
  <si>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</si>
  <si>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</si>
  <si>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</si>
  <si>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</si>
  <si>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</si>
  <si>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</si>
  <si>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</si>
  <si>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</si>
  <si>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</si>
  <si>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</si>
  <si>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</si>
  <si>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</si>
  <si>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</si>
  <si>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</si>
  <si>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</si>
  <si>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</si>
  <si>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</si>
  <si>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</si>
  <si>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</si>
  <si>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</si>
  <si>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</si>
  <si>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</si>
  <si>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</si>
  <si>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</si>
  <si>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</si>
  <si>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</si>
  <si>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</si>
  <si>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</si>
  <si>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</si>
  <si>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</si>
  <si>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</si>
  <si>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</si>
  <si>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</si>
  <si>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</si>
  <si>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</si>
  <si>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</si>
  <si>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</si>
  <si>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</si>
  <si>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</si>
  <si>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</si>
  <si>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</si>
  <si>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</si>
  <si>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</si>
  <si>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</si>
  <si>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</si>
  <si>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</si>
  <si>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</si>
  <si>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</si>
  <si>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</si>
  <si>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</si>
  <si>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</si>
  <si>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</si>
  <si>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</si>
  <si>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</si>
  <si>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</si>
  <si>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</si>
  <si>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</si>
  <si>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</si>
  <si>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</si>
  <si>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</si>
  <si>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</si>
  <si>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</si>
  <si>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</si>
  <si>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</si>
  <si>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</si>
  <si>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</si>
  <si>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</si>
  <si>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</si>
  <si>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</si>
  <si>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</si>
  <si>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</si>
  <si>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</si>
  <si>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</si>
  <si>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</si>
  <si>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</si>
  <si>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</si>
  <si>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</si>
  <si>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</si>
  <si>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</si>
  <si>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</si>
  <si>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</si>
  <si>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</si>
  <si>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</si>
  <si>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</si>
  <si>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</si>
  <si>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</si>
  <si>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</si>
  <si>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</si>
  <si>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</si>
  <si>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</si>
  <si>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</si>
  <si>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</si>
  <si>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</si>
  <si>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</si>
  <si>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</si>
  <si>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</si>
  <si>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</si>
  <si>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</si>
  <si>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</si>
  <si>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</si>
  <si>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</si>
  <si>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</si>
  <si>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</si>
  <si>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</si>
  <si>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</si>
  <si>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</si>
  <si>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</si>
  <si>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</si>
  <si>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</si>
  <si>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</si>
  <si>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</si>
  <si>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</si>
  <si>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</si>
  <si>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</si>
  <si>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</si>
  <si>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</si>
  <si>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</si>
  <si>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</si>
  <si>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</si>
  <si>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</si>
  <si>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</si>
  <si>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</si>
  <si>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</si>
  <si>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</si>
  <si>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</si>
  <si>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</si>
  <si>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</si>
  <si>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</si>
  <si>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</si>
  <si>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</si>
  <si>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</si>
  <si>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</si>
  <si>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</si>
  <si>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</si>
  <si>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</si>
  <si>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</si>
  <si>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</si>
  <si>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</si>
  <si>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</si>
  <si>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</si>
  <si>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</si>
  <si>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</si>
  <si>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</si>
  <si>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</si>
  <si>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</si>
  <si>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</si>
  <si>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</si>
  <si>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</si>
  <si>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</si>
  <si>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</si>
  <si>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</si>
  <si>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</si>
  <si>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</si>
  <si>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</si>
  <si>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</si>
  <si>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</si>
  <si>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</si>
  <si>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</si>
  <si>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</si>
  <si>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</si>
  <si>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</si>
  <si>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</si>
  <si>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</si>
  <si>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</si>
  <si>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</si>
  <si>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</si>
  <si>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</si>
  <si>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</si>
  <si>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</si>
  <si>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</si>
  <si>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</si>
  <si>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</si>
  <si>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</si>
  <si>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</si>
  <si>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</si>
  <si>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</si>
  <si>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</si>
  <si>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</si>
  <si>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</si>
  <si>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</si>
  <si>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</si>
  <si>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</si>
  <si>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</si>
  <si>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</si>
  <si>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</si>
  <si>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</si>
  <si>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</si>
  <si>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</si>
  <si>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</si>
  <si>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</si>
  <si>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</si>
  <si>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</si>
  <si>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</si>
  <si>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</si>
  <si>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</si>
  <si>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</si>
  <si>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</si>
  <si>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</si>
  <si>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</si>
  <si>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</si>
  <si>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</si>
  <si>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</si>
  <si>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</si>
  <si>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</si>
  <si>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</si>
  <si>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</si>
  <si>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</si>
  <si>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</si>
  <si>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</si>
  <si>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</si>
  <si>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</si>
  <si>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</si>
  <si>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</si>
  <si>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</si>
  <si>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</si>
  <si>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</si>
  <si>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</si>
  <si>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</si>
  <si>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</si>
  <si>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</si>
  <si>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</si>
  <si>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</si>
  <si>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</si>
  <si>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</si>
  <si>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</si>
  <si>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</si>
  <si>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</si>
  <si>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</si>
  <si>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</si>
  <si>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</si>
  <si>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</si>
  <si>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</si>
  <si>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</si>
  <si>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</si>
  <si>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</si>
  <si>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</si>
  <si>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</si>
  <si>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</si>
  <si>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</si>
  <si>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</si>
  <si>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</si>
  <si>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</si>
  <si>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</si>
  <si>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</si>
  <si>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</si>
  <si>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</si>
  <si>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</si>
  <si>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</si>
  <si>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</si>
  <si>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</si>
  <si>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</si>
  <si>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</si>
  <si>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</si>
  <si>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</si>
  <si>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</si>
  <si>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</si>
  <si>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</si>
  <si>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</si>
  <si>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</si>
  <si>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</si>
  <si>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</si>
  <si>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</si>
  <si>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</si>
  <si>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</si>
  <si>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</si>
  <si>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</si>
  <si>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</si>
  <si>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</si>
  <si>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</si>
  <si>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</si>
  <si>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</si>
  <si>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</si>
  <si>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</si>
  <si>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</si>
  <si>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</si>
  <si>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</si>
  <si>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</si>
  <si>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</si>
  <si>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</si>
  <si>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</si>
  <si>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</si>
  <si>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</si>
  <si>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</si>
  <si>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</si>
  <si>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</si>
  <si>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</si>
  <si>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</si>
  <si>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</si>
  <si>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</si>
  <si>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</si>
  <si>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</si>
  <si>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</si>
  <si>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</si>
  <si>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</si>
  <si>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</si>
  <si>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</si>
  <si>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</si>
  <si>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</si>
  <si>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</si>
  <si>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</si>
  <si>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</si>
  <si>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</si>
  <si>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</si>
  <si>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</si>
  <si>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</si>
  <si>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</si>
  <si>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</si>
  <si>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</si>
  <si>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</si>
  <si>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</si>
  <si>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</si>
  <si>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</si>
  <si>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</si>
  <si>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</si>
  <si>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</si>
  <si>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</si>
  <si>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</si>
  <si>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</si>
  <si>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</si>
  <si>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</si>
  <si>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</si>
  <si>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</si>
  <si>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</si>
  <si>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</si>
  <si>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</si>
  <si>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</si>
  <si>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</si>
  <si>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</si>
  <si>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</si>
  <si>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</si>
  <si>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</si>
  <si>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</si>
  <si>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</si>
  <si>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</si>
  <si>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</si>
  <si>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</si>
  <si>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</si>
  <si>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</si>
  <si>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</si>
  <si>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</si>
  <si>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</si>
  <si>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</si>
  <si>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</si>
  <si>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</si>
  <si>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</si>
  <si>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</si>
  <si>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</si>
  <si>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</si>
  <si>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</si>
  <si>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</si>
  <si>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</si>
  <si>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</si>
  <si>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</si>
  <si>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</si>
  <si>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</si>
  <si>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</si>
  <si>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</si>
  <si>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</si>
  <si>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</si>
  <si>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</si>
  <si>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</si>
  <si>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</si>
  <si>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</si>
  <si>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</si>
  <si>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</si>
  <si>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</si>
  <si>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</si>
  <si>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</si>
  <si>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</si>
  <si>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</si>
  <si>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</si>
  <si>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</si>
  <si>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</si>
  <si>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</si>
  <si>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</si>
  <si>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</si>
  <si>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</si>
  <si>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</si>
  <si>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</si>
  <si>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</si>
  <si>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</si>
  <si>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</si>
  <si>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</si>
  <si>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</si>
  <si>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</si>
  <si>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</si>
  <si>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</si>
  <si>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</si>
  <si>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</si>
  <si>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</si>
  <si>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</si>
  <si>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</si>
  <si>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</si>
  <si>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</si>
  <si>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</si>
  <si>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</si>
  <si>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</si>
  <si>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</si>
  <si>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</si>
  <si>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</si>
  <si>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</si>
  <si>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</si>
  <si>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</si>
  <si>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</si>
  <si>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</si>
  <si>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</si>
  <si>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</si>
  <si>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</si>
  <si>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</si>
  <si>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</si>
  <si>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</si>
  <si>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</si>
  <si>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</si>
  <si>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</si>
  <si>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</si>
  <si>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</si>
  <si>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</si>
  <si>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</si>
  <si>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</si>
  <si>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</si>
  <si>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</si>
  <si>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</si>
  <si>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</si>
  <si>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</si>
  <si>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</si>
  <si>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</si>
  <si>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</si>
  <si>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</si>
  <si>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</si>
  <si>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</si>
  <si>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</si>
  <si>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</si>
  <si>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</si>
  <si>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</si>
  <si>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</si>
  <si>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</si>
  <si>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</si>
  <si>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</si>
  <si>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</si>
  <si>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</si>
  <si>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</si>
  <si>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</si>
  <si>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</si>
  <si>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</si>
  <si>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</si>
  <si>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</si>
  <si>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</si>
  <si>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</si>
  <si>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</si>
  <si>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</si>
  <si>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</si>
  <si>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</si>
  <si>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</si>
  <si>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</si>
  <si>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</si>
  <si>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</si>
  <si>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</si>
  <si>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</si>
  <si>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</si>
  <si>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</si>
  <si>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</si>
  <si>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</si>
  <si>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</si>
  <si>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</si>
  <si>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</si>
  <si>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</si>
  <si>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</si>
  <si>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</si>
  <si>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</si>
  <si>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</si>
  <si>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</si>
  <si>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</si>
  <si>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</si>
  <si>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</si>
  <si>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</si>
  <si>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</si>
  <si>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</si>
  <si>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</si>
  <si>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</si>
  <si>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</si>
  <si>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</si>
  <si>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</si>
  <si>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</si>
  <si>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</si>
  <si>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</si>
  <si>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</si>
  <si>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</si>
  <si>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</si>
  <si>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</si>
  <si>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</si>
  <si>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</si>
  <si>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</si>
  <si>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</si>
  <si>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</si>
  <si>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</si>
  <si>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</si>
  <si>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</si>
  <si>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</si>
  <si>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</si>
  <si>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</si>
  <si>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</si>
  <si>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</si>
  <si>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</si>
  <si>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</si>
  <si>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</si>
  <si>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</si>
  <si>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</si>
  <si>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</si>
  <si>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</si>
  <si>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</si>
  <si>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</si>
  <si>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</si>
  <si>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</si>
  <si>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</si>
  <si>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</si>
  <si>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</si>
  <si>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</si>
  <si>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</si>
  <si>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</si>
  <si>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</si>
  <si>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</si>
  <si>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</si>
  <si>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</si>
  <si>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</si>
  <si>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</si>
  <si>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</si>
  <si>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</si>
  <si>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</si>
  <si>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</si>
  <si>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</si>
  <si>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</si>
  <si>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</si>
  <si>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</si>
  <si>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</si>
  <si>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</si>
  <si>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</si>
  <si>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</si>
  <si>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</si>
  <si>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</si>
  <si>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</si>
  <si>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</si>
  <si>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</si>
  <si>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</si>
  <si>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</si>
  <si>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</si>
  <si>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</si>
  <si>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</si>
  <si>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</si>
  <si>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</si>
  <si>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</si>
  <si>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</si>
  <si>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</si>
  <si>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</si>
  <si>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</si>
  <si>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</si>
  <si>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</si>
  <si>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</si>
  <si>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</si>
  <si>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</si>
  <si>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</si>
  <si>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</si>
  <si>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</si>
  <si>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</si>
  <si>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</si>
  <si>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</si>
  <si>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</si>
  <si>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</si>
  <si>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</si>
  <si>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</si>
  <si>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</si>
  <si>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</si>
  <si>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</si>
  <si>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</si>
  <si>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</si>
  <si>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</si>
  <si>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</si>
  <si>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</si>
  <si>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</si>
  <si>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</si>
  <si>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</si>
  <si>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</si>
  <si>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</si>
  <si>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</si>
  <si>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</si>
  <si>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</si>
  <si>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</si>
  <si>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</si>
  <si>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</si>
  <si>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</si>
  <si>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</si>
  <si>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</si>
  <si>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</si>
  <si>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</si>
  <si>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</si>
  <si>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</si>
  <si>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</si>
  <si>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</si>
  <si>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</si>
  <si>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</si>
  <si>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</si>
  <si>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</si>
  <si>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</si>
  <si>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</si>
  <si>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</si>
  <si>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</si>
  <si>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</si>
  <si>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</si>
  <si>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</si>
  <si>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</si>
  <si>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</si>
  <si>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</si>
  <si>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</si>
  <si>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</si>
  <si>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</si>
  <si>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</si>
  <si>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</si>
  <si>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</si>
  <si>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</si>
  <si>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</si>
  <si>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</si>
  <si>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</si>
  <si>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</si>
  <si>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</si>
  <si>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</si>
  <si>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</si>
  <si>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</si>
  <si>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</si>
  <si>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</si>
  <si>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</si>
  <si>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</si>
  <si>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</si>
  <si>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</si>
  <si>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</si>
  <si>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</si>
  <si>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</si>
  <si>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</si>
  <si>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</si>
  <si>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</si>
  <si>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</si>
  <si>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</si>
  <si>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</si>
  <si>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</si>
  <si>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</si>
  <si>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</si>
  <si>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</si>
  <si>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</si>
  <si>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</si>
  <si>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</si>
  <si>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</si>
  <si>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</si>
  <si>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</si>
  <si>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</si>
  <si>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</si>
  <si>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</si>
  <si>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</si>
  <si>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</si>
  <si>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</si>
  <si>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</si>
  <si>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</si>
  <si>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</si>
  <si>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</si>
  <si>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</si>
  <si>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</si>
  <si>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</si>
  <si>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</si>
  <si>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</si>
  <si>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</si>
  <si>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</si>
  <si>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</si>
  <si>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</si>
  <si>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</si>
  <si>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</si>
  <si>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</si>
  <si>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</si>
  <si>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</si>
  <si>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</si>
  <si>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</si>
  <si>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</si>
  <si>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</si>
  <si>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</si>
  <si>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</si>
  <si>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</si>
  <si>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</si>
  <si>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</si>
  <si>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</si>
  <si>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</si>
  <si>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</si>
  <si>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</si>
  <si>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</si>
  <si>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</si>
  <si>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</si>
  <si>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</si>
  <si>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</si>
  <si>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</si>
  <si>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</si>
  <si>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</si>
  <si>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</si>
  <si>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</si>
  <si>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</si>
  <si>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</si>
  <si>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</si>
  <si>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</si>
  <si>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</si>
  <si>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</si>
  <si>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</si>
  <si>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</si>
  <si>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</si>
  <si>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</si>
  <si>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</si>
  <si>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</si>
  <si>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</si>
  <si>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</si>
  <si>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</si>
  <si>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</si>
  <si>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</si>
  <si>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</si>
  <si>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</si>
  <si>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</si>
  <si>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</si>
  <si>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</si>
  <si>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</si>
  <si>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</si>
  <si>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</si>
  <si>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</si>
  <si>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</si>
  <si>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</si>
  <si>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</si>
  <si>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</si>
  <si>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</si>
  <si>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</si>
  <si>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</si>
  <si>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</si>
  <si>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</si>
  <si>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</si>
  <si>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</si>
  <si>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</si>
  <si>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</si>
  <si>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</si>
  <si>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</si>
  <si>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</si>
  <si>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</si>
  <si>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</si>
  <si>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</si>
  <si>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</si>
  <si>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</si>
  <si>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</si>
  <si>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</si>
  <si>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</si>
  <si>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</si>
  <si>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</si>
  <si>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</si>
  <si>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</si>
  <si>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</si>
  <si>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</si>
  <si>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</si>
  <si>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</si>
  <si>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</si>
  <si>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</si>
  <si>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</si>
  <si>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</si>
  <si>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</si>
  <si>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</si>
  <si>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</si>
  <si>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</si>
  <si>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</si>
  <si>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</si>
  <si>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</si>
  <si>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</si>
  <si>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</si>
  <si>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</si>
  <si>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</si>
  <si>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</si>
  <si>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</si>
  <si>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</si>
  <si>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</si>
  <si>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</si>
  <si>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</si>
  <si>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</si>
  <si>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</si>
  <si>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</si>
  <si>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</si>
  <si>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</si>
  <si>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</si>
  <si>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</si>
  <si>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</si>
  <si>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</si>
  <si>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</si>
  <si>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</si>
  <si>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</si>
  <si>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</si>
  <si>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</si>
  <si>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</si>
  <si>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</si>
  <si>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</si>
  <si>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</si>
  <si>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</si>
  <si>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</si>
  <si>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</si>
  <si>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</si>
  <si>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</si>
  <si>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</si>
  <si>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</si>
  <si>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</si>
  <si>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</si>
  <si>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</si>
  <si>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</si>
  <si>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</si>
  <si>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</si>
  <si>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</si>
  <si>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</si>
  <si>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</si>
  <si>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</si>
  <si>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</si>
  <si>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</si>
  <si>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</si>
  <si>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</si>
  <si>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</si>
  <si>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</si>
  <si>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</si>
  <si>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</si>
  <si>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</si>
  <si>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</si>
  <si>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</si>
  <si>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</si>
  <si>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</si>
  <si>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</si>
  <si>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</si>
  <si>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</si>
  <si>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</si>
  <si>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</si>
  <si>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</si>
  <si>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</si>
  <si>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</si>
  <si>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</si>
  <si>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</si>
  <si>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</si>
  <si>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</si>
  <si>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</si>
  <si>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</si>
  <si>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</si>
  <si>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</si>
  <si>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</si>
  <si>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</si>
  <si>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</si>
  <si>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</si>
  <si>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</si>
  <si>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</si>
  <si>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</si>
  <si>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</si>
  <si>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</si>
  <si>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</si>
  <si>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</si>
  <si>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</si>
  <si>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</si>
  <si>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</si>
  <si>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</si>
  <si>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</si>
  <si>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</si>
  <si>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</si>
  <si>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</si>
  <si>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</si>
  <si>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</si>
  <si>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</si>
  <si>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</si>
  <si>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</si>
  <si>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</si>
  <si>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</si>
  <si>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</si>
  <si>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</si>
  <si>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</si>
  <si>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</si>
  <si>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</si>
  <si>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</si>
  <si>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</si>
  <si>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</si>
  <si>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</si>
  <si>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</si>
  <si>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</si>
  <si>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</si>
  <si>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</si>
  <si>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</si>
  <si>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</si>
  <si>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</si>
  <si>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</si>
  <si>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</si>
  <si>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</si>
  <si>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</si>
  <si>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</si>
  <si>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</si>
  <si>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</si>
  <si>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</si>
  <si>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</si>
  <si>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</si>
  <si>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</si>
  <si>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</si>
  <si>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</si>
  <si>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</si>
  <si>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</si>
  <si>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</si>
  <si>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</si>
  <si>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</si>
  <si>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</si>
  <si>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</si>
  <si>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</si>
  <si>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</si>
  <si>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</si>
  <si>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</si>
  <si>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</si>
  <si>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</si>
  <si>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</si>
  <si>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</si>
  <si>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</si>
  <si>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</si>
  <si>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</si>
  <si>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</si>
  <si>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</si>
  <si>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</si>
  <si>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</si>
  <si>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</si>
  <si>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</si>
  <si>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</si>
  <si>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</si>
  <si>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</si>
  <si>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</si>
  <si>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</si>
  <si>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</si>
  <si>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</si>
  <si>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</si>
  <si>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</si>
  <si>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</si>
  <si>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</si>
  <si>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</si>
  <si>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</si>
  <si>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</si>
  <si>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</si>
  <si>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</si>
  <si>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</si>
  <si>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</si>
  <si>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</si>
  <si>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</si>
  <si>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</si>
  <si>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</si>
  <si>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</si>
  <si>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</si>
  <si>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</si>
  <si>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</si>
  <si>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</si>
  <si>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</si>
  <si>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</si>
  <si>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</si>
  <si>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</si>
  <si>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</si>
  <si>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</si>
  <si>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</si>
  <si>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</si>
  <si>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</si>
  <si>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</si>
  <si>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</si>
  <si>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</si>
  <si>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</si>
  <si>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</si>
  <si>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</si>
  <si>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</si>
  <si>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</si>
  <si>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</si>
  <si>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</si>
  <si>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</si>
  <si>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</si>
  <si>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</si>
  <si>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</si>
  <si>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</si>
  <si>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</si>
  <si>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</si>
  <si>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</si>
  <si>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</si>
  <si>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</si>
  <si>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</si>
  <si>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</si>
  <si>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</si>
  <si>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</si>
  <si>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</si>
  <si>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</si>
  <si>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</si>
  <si>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</si>
  <si>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</si>
  <si>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</si>
  <si>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</si>
  <si>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</si>
  <si>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</si>
  <si>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</si>
  <si>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</si>
  <si>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</si>
  <si>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</si>
  <si>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</si>
  <si>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</si>
  <si>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</si>
  <si>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</si>
  <si>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</si>
  <si>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</si>
  <si>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</si>
  <si>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</si>
  <si>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</si>
  <si>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</si>
  <si>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</si>
  <si>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</si>
  <si>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</si>
  <si>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</si>
  <si>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</si>
  <si>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</si>
  <si>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</si>
  <si>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</si>
  <si>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</si>
  <si>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</si>
  <si>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</si>
  <si>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</si>
  <si>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</si>
  <si>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</si>
  <si>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</si>
  <si>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</si>
  <si>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</si>
  <si>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</si>
  <si>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</si>
  <si>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</si>
  <si>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</si>
  <si>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</si>
  <si>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</si>
  <si>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</si>
  <si>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</si>
  <si>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</si>
  <si>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</si>
  <si>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</si>
  <si>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</si>
  <si>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</si>
  <si>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</si>
  <si>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</si>
  <si>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</si>
  <si>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</si>
  <si>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</si>
  <si>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</si>
  <si>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</si>
  <si>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</si>
  <si>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</si>
  <si>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</si>
  <si>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</si>
  <si>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</si>
  <si>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</si>
  <si>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</si>
  <si>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</si>
  <si>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</si>
  <si>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</si>
  <si>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</si>
  <si>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</si>
  <si>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</si>
  <si>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</si>
  <si>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</si>
  <si>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</si>
  <si>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</si>
  <si>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</si>
  <si>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</si>
  <si>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</si>
  <si>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</si>
  <si>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</si>
  <si>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</si>
  <si>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</si>
  <si>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</si>
  <si>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</si>
  <si>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</si>
  <si>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</si>
  <si>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</si>
  <si>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</si>
  <si>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</si>
  <si>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</si>
  <si>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</si>
  <si>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</si>
  <si>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</si>
  <si>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</si>
  <si>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</si>
  <si>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</si>
  <si>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</si>
  <si>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</si>
  <si>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</si>
  <si>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</si>
  <si>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</si>
  <si>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</si>
  <si>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</si>
  <si>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</si>
  <si>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</si>
  <si>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</si>
  <si>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</si>
  <si>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</si>
  <si>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</si>
  <si>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</si>
  <si>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</si>
  <si>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</si>
  <si>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</si>
  <si>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</si>
  <si>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</si>
  <si>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</si>
  <si>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</si>
  <si>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</si>
  <si>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</si>
  <si>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</si>
  <si>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</si>
  <si>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</si>
  <si>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</si>
  <si>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</si>
  <si>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</si>
  <si>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</si>
  <si>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</si>
  <si>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</si>
  <si>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</si>
  <si>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</si>
  <si>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</si>
  <si>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</si>
  <si>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</si>
  <si>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</si>
  <si>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</si>
  <si>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</si>
  <si>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</si>
  <si>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</si>
  <si>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</si>
  <si>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</si>
  <si>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</si>
  <si>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</si>
  <si>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</si>
  <si>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</si>
  <si>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</si>
  <si>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</si>
  <si>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</si>
  <si>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</si>
  <si>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</si>
  <si>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</si>
  <si>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</si>
  <si>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</si>
  <si>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</si>
  <si>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</si>
  <si>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</si>
  <si>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</si>
  <si>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</si>
  <si>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</si>
  <si>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</si>
  <si>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</si>
  <si>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</si>
  <si>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</si>
  <si>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</si>
  <si>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</si>
  <si>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</si>
  <si>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</si>
  <si>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</si>
  <si>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</si>
  <si>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</si>
  <si>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</si>
  <si>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</si>
  <si>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</si>
  <si>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</si>
  <si>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</si>
  <si>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</si>
  <si>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</si>
  <si>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</si>
  <si>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</si>
  <si>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</si>
  <si>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</si>
  <si>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</si>
  <si>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</si>
  <si>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</si>
  <si>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</si>
  <si>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</si>
  <si>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</si>
  <si>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</si>
  <si>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</si>
  <si>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</si>
  <si>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</si>
  <si>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</si>
  <si>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</si>
  <si>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</si>
  <si>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</si>
  <si>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</si>
  <si>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</si>
  <si>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</si>
  <si>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</si>
  <si>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</si>
  <si>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</si>
  <si>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</si>
  <si>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</si>
  <si>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</si>
  <si>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</si>
  <si>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</si>
  <si>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</si>
  <si>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</si>
  <si>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</si>
  <si>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</si>
  <si>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</si>
  <si>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</si>
  <si>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</si>
  <si>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</si>
  <si>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</si>
  <si>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</si>
  <si>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</si>
  <si>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</si>
  <si>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</si>
  <si>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</si>
  <si>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</si>
  <si>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</si>
  <si>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</si>
  <si>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</si>
  <si>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</si>
  <si>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</si>
  <si>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</si>
  <si>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</si>
  <si>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</si>
  <si>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</si>
  <si>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</si>
  <si>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</si>
  <si>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</si>
  <si>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</si>
  <si>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</si>
  <si>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</si>
  <si>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</si>
  <si>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</si>
  <si>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</si>
  <si>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</si>
  <si>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</si>
  <si>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</si>
  <si>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</si>
  <si>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</si>
  <si>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</si>
  <si>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</si>
  <si>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</si>
  <si>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</si>
  <si>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</si>
  <si>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</si>
  <si>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</si>
  <si>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</si>
  <si>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</si>
  <si>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</si>
  <si>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</si>
  <si>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</si>
  <si>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</si>
  <si>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</si>
  <si>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</si>
  <si>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</si>
  <si>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</si>
  <si>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</si>
  <si>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</si>
  <si>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</si>
  <si>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</si>
  <si>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</si>
  <si>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</si>
  <si>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</si>
  <si>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</si>
  <si>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</si>
  <si>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</si>
  <si>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</si>
  <si>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</si>
  <si>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</si>
  <si>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</si>
  <si>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</si>
  <si>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</si>
  <si>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</si>
  <si>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</si>
  <si>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</si>
  <si>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</si>
  <si>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</si>
  <si>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</si>
  <si>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</si>
  <si>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</si>
  <si>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</si>
  <si>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</si>
  <si>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</si>
  <si>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</si>
  <si>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</si>
  <si>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</si>
  <si>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</si>
  <si>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</si>
  <si>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</si>
  <si>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</si>
  <si>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</si>
  <si>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</si>
  <si>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</si>
  <si>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</si>
  <si>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</si>
  <si>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</si>
  <si>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</si>
  <si>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</si>
  <si>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</si>
  <si>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</si>
  <si>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</si>
  <si>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</si>
  <si>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</si>
  <si>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</si>
  <si>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</si>
  <si>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</si>
  <si>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</si>
  <si>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</si>
  <si>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</si>
  <si>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</si>
  <si>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</si>
  <si>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</si>
  <si>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</si>
  <si>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</si>
  <si>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</si>
  <si>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</si>
  <si>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</si>
  <si>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</si>
  <si>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</si>
  <si>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</si>
  <si>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</si>
  <si>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</si>
  <si>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</si>
  <si>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</si>
  <si>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</si>
  <si>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</si>
  <si>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</si>
  <si>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</si>
  <si>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</si>
  <si>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</si>
  <si>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</si>
  <si>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</si>
  <si>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</si>
  <si>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</si>
  <si>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</si>
  <si>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</si>
  <si>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</si>
  <si>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</si>
  <si>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</si>
  <si>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</si>
  <si>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</si>
  <si>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</si>
  <si>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</si>
  <si>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</si>
  <si>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</si>
  <si>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</si>
  <si>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</si>
  <si>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</si>
  <si>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</si>
  <si>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</si>
  <si>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</si>
  <si>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</si>
  <si>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</si>
  <si>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</si>
  <si>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</si>
  <si>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</si>
  <si>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</si>
  <si>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</si>
  <si>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</si>
  <si>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</si>
  <si>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</si>
  <si>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</si>
  <si>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</si>
  <si>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</si>
  <si>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</si>
  <si>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</si>
  <si>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</si>
  <si>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</si>
  <si>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</si>
  <si>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</si>
  <si>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</si>
  <si>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</si>
  <si>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</si>
  <si>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</si>
  <si>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</si>
  <si>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</si>
  <si>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</si>
  <si>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</si>
  <si>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</si>
  <si>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</si>
  <si>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</si>
  <si>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</si>
  <si>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</si>
  <si>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</si>
  <si>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</si>
  <si>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</si>
  <si>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</si>
  <si>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</si>
  <si>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</si>
  <si>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</si>
  <si>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</si>
  <si>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</si>
  <si>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</si>
  <si>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</si>
  <si>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</si>
  <si>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</si>
  <si>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</si>
  <si>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</si>
  <si>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</si>
  <si>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</si>
  <si>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</si>
  <si>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</si>
  <si>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</si>
  <si>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</si>
  <si>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</si>
  <si>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</si>
  <si>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</si>
  <si>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</si>
  <si>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</si>
  <si>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</si>
  <si>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</si>
  <si>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</si>
  <si>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</si>
  <si>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</si>
  <si>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</si>
  <si>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</si>
  <si>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</si>
  <si>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</si>
  <si>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</si>
  <si>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</si>
  <si>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</si>
  <si>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</si>
  <si>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</si>
  <si>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</si>
  <si>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</si>
  <si>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</si>
  <si>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</si>
  <si>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</si>
  <si>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</si>
  <si>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</si>
  <si>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</si>
  <si>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</si>
  <si>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</si>
  <si>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</si>
  <si>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</si>
  <si>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</si>
  <si>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</si>
  <si>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</si>
  <si>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</si>
  <si>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</si>
  <si>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</si>
  <si>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</si>
  <si>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</si>
  <si>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</si>
  <si>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</si>
  <si>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</si>
  <si>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</si>
  <si>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</si>
  <si>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</si>
  <si>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</si>
  <si>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</si>
  <si>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</si>
  <si>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</si>
  <si>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</si>
  <si>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</si>
  <si>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</si>
  <si>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</si>
  <si>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</si>
  <si>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</si>
  <si>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</si>
  <si>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</si>
  <si>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</si>
  <si>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</si>
  <si>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</si>
  <si>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</si>
  <si>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</si>
  <si>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</si>
  <si>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</si>
  <si>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</si>
  <si>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</si>
  <si>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</si>
  <si>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</si>
  <si>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</si>
  <si>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</si>
  <si>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</si>
  <si>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</si>
  <si>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</si>
  <si>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</si>
  <si>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</si>
  <si>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</si>
  <si>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</si>
  <si>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</si>
  <si>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</si>
  <si>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</si>
  <si>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</si>
  <si>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</si>
  <si>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</si>
  <si>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</si>
  <si>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</si>
  <si>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</si>
  <si>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</si>
  <si>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</si>
  <si>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</si>
  <si>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</si>
  <si>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</si>
  <si>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</si>
  <si>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</si>
  <si>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</si>
  <si>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</si>
  <si>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</si>
  <si>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</si>
  <si>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</si>
  <si>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</si>
  <si>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</si>
  <si>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</si>
  <si>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</si>
  <si>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</si>
  <si>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</si>
  <si>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</si>
  <si>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</si>
  <si>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</si>
  <si>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</si>
  <si>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</si>
  <si>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</si>
  <si>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</si>
  <si>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</si>
  <si>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</si>
  <si>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</si>
  <si>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</si>
  <si>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</si>
  <si>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</si>
  <si>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</si>
  <si>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</si>
  <si>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</si>
  <si>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</si>
  <si>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</si>
  <si>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</si>
  <si>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</si>
  <si>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</si>
  <si>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</si>
  <si>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</si>
  <si>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</si>
  <si>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</si>
  <si>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</si>
  <si>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</si>
  <si>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</si>
  <si>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</si>
  <si>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</si>
  <si>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</si>
  <si>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</si>
  <si>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</si>
  <si>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</si>
  <si>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</si>
  <si>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</si>
  <si>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</si>
  <si>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</si>
  <si>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</si>
  <si>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</si>
  <si>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</si>
  <si>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</si>
  <si>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</si>
  <si>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</si>
  <si>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</si>
  <si>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</si>
  <si>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</si>
  <si>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</si>
  <si>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</si>
  <si>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</si>
  <si>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</si>
  <si>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</si>
  <si>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</si>
  <si>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</si>
  <si>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</si>
  <si>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</si>
  <si>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</si>
  <si>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</si>
  <si>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</si>
  <si>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</si>
  <si>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</si>
  <si>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</si>
  <si>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</si>
  <si>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</si>
  <si>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</si>
  <si>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</si>
  <si>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</si>
  <si>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</si>
  <si>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</si>
  <si>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</si>
  <si>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</si>
  <si>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</si>
  <si>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</si>
  <si>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</si>
  <si>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</si>
  <si>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</si>
  <si>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</si>
  <si>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</si>
  <si>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</si>
  <si>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</si>
  <si>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</si>
  <si>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</si>
  <si>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</si>
  <si>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</si>
  <si>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</si>
  <si>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</si>
  <si>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</si>
  <si>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</si>
  <si>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</si>
  <si>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</si>
  <si>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</si>
  <si>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</si>
  <si>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</si>
  <si>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</si>
  <si>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</si>
  <si>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</si>
  <si>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</si>
  <si>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</si>
  <si>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</si>
  <si>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</si>
  <si>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</si>
  <si>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</si>
  <si>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</si>
  <si>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</si>
  <si>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</si>
  <si>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</si>
  <si>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</si>
  <si>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</si>
  <si>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</si>
  <si>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</si>
  <si>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</si>
  <si>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</si>
  <si>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</si>
  <si>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</si>
  <si>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</si>
  <si>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</si>
  <si>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</si>
  <si>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</si>
  <si>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</si>
  <si>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</si>
  <si>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</si>
  <si>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</si>
  <si>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</si>
  <si>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</si>
  <si>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</si>
  <si>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</si>
  <si>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</si>
  <si>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</si>
  <si>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</si>
  <si>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</si>
  <si>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</si>
  <si>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</si>
  <si>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</si>
  <si>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</si>
  <si>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</si>
  <si>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</si>
  <si>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</si>
  <si>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</si>
  <si>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</si>
  <si>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</si>
  <si>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</si>
  <si>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</si>
  <si>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</si>
  <si>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</si>
  <si>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</si>
  <si>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</si>
  <si>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</si>
  <si>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</si>
  <si>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</si>
  <si>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</si>
  <si>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</si>
  <si>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</si>
  <si>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</si>
  <si>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</si>
  <si>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</si>
  <si>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</si>
  <si>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</si>
  <si>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</si>
  <si>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</si>
  <si>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</si>
  <si>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</si>
  <si>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</si>
  <si>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</si>
  <si>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</si>
  <si>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</si>
  <si>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</si>
  <si>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</si>
  <si>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</si>
  <si>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</si>
  <si>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</si>
  <si>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</si>
  <si>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</si>
  <si>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</si>
  <si>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</si>
  <si>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</si>
  <si>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</si>
  <si>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</si>
  <si>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</si>
  <si>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</si>
  <si>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</si>
  <si>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</si>
  <si>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</si>
  <si>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</si>
  <si>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</si>
  <si>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</si>
  <si>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</si>
  <si>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</si>
  <si>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</si>
  <si>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13-12-2006 00:00:00</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</si>
  <si>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</si>
  <si>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</si>
  <si>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</si>
  <si>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</si>
  <si>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</si>
  <si>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</si>
  <si>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</si>
  <si>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</si>
  <si>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</si>
  <si>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</si>
  <si>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</si>
  <si>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</si>
  <si>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</si>
  <si>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</si>
  <si>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</si>
  <si>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</si>
  <si>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</si>
  <si>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</si>
  <si>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</si>
  <si>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</si>
  <si>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</si>
  <si>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</si>
  <si>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</si>
  <si>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</si>
  <si>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</si>
  <si>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</si>
  <si>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</si>
  <si>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</si>
  <si>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</si>
  <si>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</si>
  <si>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</si>
  <si>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</si>
  <si>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</si>
  <si>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</si>
  <si>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</si>
  <si>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</si>
  <si>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</si>
  <si>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</si>
  <si>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</si>
  <si>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</si>
  <si>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</si>
  <si>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</si>
  <si>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</si>
  <si>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</si>
  <si>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26508783</t>
  </si>
  <si>
    <t>АО "КОМЗ"</t>
  </si>
  <si>
    <t>1660004229</t>
  </si>
  <si>
    <t>166001001</t>
  </si>
  <si>
    <t>26406031</t>
  </si>
  <si>
    <t>АО "Казанский жировой комбинат"</t>
  </si>
  <si>
    <t>1624004583</t>
  </si>
  <si>
    <t>162401001</t>
  </si>
  <si>
    <t>26322530</t>
  </si>
  <si>
    <t>АО "Казанькомпрессормаш"</t>
  </si>
  <si>
    <t>1660004878</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</si>
  <si>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</si>
  <si>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</si>
  <si>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</si>
  <si>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</si>
  <si>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</si>
  <si>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</si>
  <si>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</si>
  <si>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</si>
  <si>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</si>
  <si>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</si>
  <si>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</si>
  <si>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</si>
  <si>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</si>
  <si>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</si>
  <si>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</si>
  <si>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</si>
  <si>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</si>
  <si>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</si>
  <si>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</si>
  <si>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</si>
  <si>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</si>
  <si>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</si>
  <si>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</si>
  <si>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</si>
  <si>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</si>
  <si>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</si>
  <si>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</si>
  <si>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</si>
  <si>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168150001</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</si>
  <si>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</si>
  <si>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</si>
  <si>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</si>
  <si>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</si>
  <si>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</si>
  <si>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</si>
  <si>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</si>
  <si>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</si>
  <si>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</si>
  <si>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</si>
  <si>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</si>
  <si>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</si>
  <si>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</si>
  <si>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</si>
  <si>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</si>
  <si>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</si>
  <si>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</si>
  <si>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</si>
  <si>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168601001</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</si>
  <si>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</si>
  <si>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</si>
  <si>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</si>
  <si>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</si>
  <si>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</si>
  <si>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</si>
  <si>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</si>
  <si>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</si>
  <si>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</si>
  <si>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</si>
  <si>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</si>
  <si>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</si>
  <si>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</si>
  <si>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12-10-2005 00:00:00</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</si>
  <si>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</si>
  <si>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</si>
  <si>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</si>
  <si>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</si>
  <si>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</si>
  <si>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</si>
  <si>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</si>
  <si>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</si>
  <si>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</si>
  <si>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</si>
  <si>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</si>
  <si>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</si>
  <si>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</si>
  <si>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</si>
  <si>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</si>
  <si>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</si>
  <si>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</si>
  <si>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</si>
  <si>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31711565</t>
  </si>
  <si>
    <t>АО "Химград"</t>
  </si>
  <si>
    <t>1658098188</t>
  </si>
  <si>
    <t>165801001</t>
  </si>
  <si>
    <t>26354360</t>
  </si>
  <si>
    <t>АО "Шеморданское МПП ЖКХ Сабинского района"</t>
  </si>
  <si>
    <t>1635005684</t>
  </si>
  <si>
    <t>28822219</t>
  </si>
  <si>
    <t>Акционерное общество  "Энергоцентр "Майский" (АО "ЭЦМ")</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</si>
  <si>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</si>
  <si>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</si>
  <si>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</si>
  <si>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</si>
  <si>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</si>
  <si>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</si>
  <si>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</si>
  <si>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</si>
  <si>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</si>
  <si>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</si>
  <si>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</si>
  <si>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</si>
  <si>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</si>
  <si>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</si>
  <si>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</si>
  <si>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</si>
  <si>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</si>
  <si>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</si>
  <si>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ГОСУДАРСТВЕННЫЙ КОМИТЕТ РЕСПУБЛИКИ ТАТАРСТАН ПО ТАРИФАМ</t>
  </si>
  <si>
    <t>1655200443</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</si>
  <si>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</si>
  <si>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</si>
  <si>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</si>
  <si>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</si>
  <si>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</si>
  <si>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</si>
  <si>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</si>
  <si>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</si>
  <si>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</si>
  <si>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</si>
  <si>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</si>
  <si>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</si>
  <si>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</si>
  <si>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</si>
  <si>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</si>
  <si>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</si>
  <si>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</si>
  <si>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</si>
  <si>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</si>
  <si>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</si>
  <si>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</si>
  <si>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</si>
  <si>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</si>
  <si>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</si>
  <si>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</si>
  <si>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</si>
  <si>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</si>
  <si>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</si>
  <si>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</si>
  <si>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</si>
  <si>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</si>
  <si>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</si>
  <si>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</si>
  <si>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</si>
  <si>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</si>
  <si>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</si>
  <si>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</si>
  <si>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</si>
  <si>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</si>
  <si>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</si>
  <si>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</si>
  <si>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</si>
  <si>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</si>
  <si>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</si>
  <si>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</si>
  <si>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</si>
  <si>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</si>
  <si>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</si>
  <si>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</si>
  <si>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</si>
  <si>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</si>
  <si>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</si>
  <si>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</si>
  <si>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</si>
  <si>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</si>
  <si>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</si>
  <si>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</si>
  <si>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</si>
  <si>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</si>
  <si>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</si>
  <si>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</si>
  <si>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</si>
  <si>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</si>
  <si>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</si>
  <si>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</si>
  <si>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</si>
  <si>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</si>
  <si>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</si>
  <si>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</si>
  <si>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</si>
  <si>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</si>
  <si>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</si>
  <si>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</si>
  <si>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</si>
  <si>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</si>
  <si>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</si>
  <si>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</si>
  <si>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</si>
  <si>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</si>
  <si>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</si>
  <si>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</si>
  <si>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</si>
  <si>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</si>
  <si>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</si>
  <si>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</si>
  <si>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</si>
  <si>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</si>
  <si>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</si>
  <si>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</si>
  <si>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</si>
  <si>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</si>
  <si>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</si>
  <si>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</si>
  <si>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</si>
  <si>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</si>
  <si>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</si>
  <si>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</si>
  <si>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28284276</t>
  </si>
  <si>
    <t>МУП "Управление строительства Агрызского муниципального района"</t>
  </si>
  <si>
    <t>1601008662</t>
  </si>
  <si>
    <t>160101001</t>
  </si>
  <si>
    <t>19-12-2012 00:00:00</t>
  </si>
  <si>
    <t>27840693</t>
  </si>
  <si>
    <t>МУП "Уют"</t>
  </si>
  <si>
    <t>1622006909</t>
  </si>
  <si>
    <t>11-03-2012 00:00:00</t>
  </si>
  <si>
    <t>26807712</t>
  </si>
  <si>
    <t>Набережночелнинская ТЭЦ - филиал АО "Татэнерго"</t>
  </si>
  <si>
    <t>165002002</t>
  </si>
  <si>
    <t>28449529</t>
  </si>
  <si>
    <t>Нижнекамская ТЭЦ (ПТК-1) -филиал 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</si>
  <si>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</si>
  <si>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</si>
  <si>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</si>
  <si>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</si>
  <si>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</si>
  <si>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</si>
  <si>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</si>
  <si>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</si>
  <si>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</si>
  <si>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</si>
  <si>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</si>
  <si>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</si>
  <si>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</si>
  <si>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</si>
  <si>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</si>
  <si>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</si>
  <si>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</si>
  <si>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</si>
  <si>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</si>
  <si>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</si>
  <si>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</si>
  <si>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</si>
  <si>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</si>
  <si>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</si>
  <si>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</si>
  <si>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</si>
  <si>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</si>
  <si>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</si>
  <si>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</si>
  <si>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</si>
  <si>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</si>
  <si>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</si>
  <si>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</si>
  <si>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</si>
  <si>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</si>
  <si>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</si>
  <si>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</si>
  <si>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</si>
  <si>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</si>
  <si>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</si>
  <si>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</si>
  <si>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</si>
  <si>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</si>
  <si>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</si>
  <si>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</si>
  <si>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</si>
  <si>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</si>
  <si>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</si>
  <si>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</si>
  <si>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</si>
  <si>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</si>
  <si>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</si>
  <si>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</si>
  <si>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</si>
  <si>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</si>
  <si>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</si>
  <si>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</si>
  <si>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</si>
  <si>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</si>
  <si>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</si>
  <si>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</si>
  <si>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31310231</t>
  </si>
  <si>
    <t>ООО "ГК Транзит"</t>
  </si>
  <si>
    <t>1660259717</t>
  </si>
  <si>
    <t>31461172</t>
  </si>
  <si>
    <t>ООО "ГазТеплоАвтоматика"</t>
  </si>
  <si>
    <t>1636008078</t>
  </si>
  <si>
    <t>04-03-2020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</si>
  <si>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</si>
  <si>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</si>
  <si>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</si>
  <si>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</si>
  <si>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</si>
  <si>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</si>
  <si>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</si>
  <si>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</si>
  <si>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</si>
  <si>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</si>
  <si>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</si>
  <si>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</si>
  <si>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</si>
  <si>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</si>
  <si>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</si>
  <si>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</si>
  <si>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</si>
  <si>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1605004563</t>
  </si>
  <si>
    <t>160501001</t>
  </si>
  <si>
    <t>30814015</t>
  </si>
  <si>
    <t>ООО "Интеграция"</t>
  </si>
  <si>
    <t>1658191691</t>
  </si>
  <si>
    <t>26322541</t>
  </si>
  <si>
    <t>ООО "КАМАЗ-Энерго"</t>
  </si>
  <si>
    <t>1650157635</t>
  </si>
  <si>
    <t>165001001</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</si>
  <si>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</si>
  <si>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</si>
  <si>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</si>
  <si>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</si>
  <si>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</si>
  <si>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</si>
  <si>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</si>
  <si>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</si>
  <si>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</si>
  <si>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</si>
  <si>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</si>
  <si>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</si>
  <si>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</si>
  <si>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168401001</t>
  </si>
  <si>
    <t>30940313</t>
  </si>
  <si>
    <t>ООО "Казанский молочный комбинат"</t>
  </si>
  <si>
    <t>1660297582</t>
  </si>
  <si>
    <t>31560472</t>
  </si>
  <si>
    <t>ООО "Казэнергоцентр"</t>
  </si>
  <si>
    <t>1655282333</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</si>
  <si>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</si>
  <si>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</si>
  <si>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</si>
  <si>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</si>
  <si>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</si>
  <si>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</si>
  <si>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</si>
  <si>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</si>
  <si>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</si>
  <si>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</si>
  <si>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</si>
  <si>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</si>
  <si>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</si>
  <si>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</si>
  <si>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</si>
  <si>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</si>
  <si>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</si>
  <si>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</si>
  <si>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</si>
  <si>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</si>
  <si>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</si>
  <si>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</si>
  <si>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161901001</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</si>
  <si>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</si>
  <si>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</si>
  <si>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</si>
  <si>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</si>
  <si>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</si>
  <si>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</si>
  <si>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</si>
  <si>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</si>
  <si>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</si>
  <si>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</si>
  <si>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</si>
  <si>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</si>
  <si>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</si>
  <si>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</si>
  <si>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</si>
  <si>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</si>
  <si>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</si>
  <si>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</si>
  <si>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</si>
  <si>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</si>
  <si>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</si>
  <si>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</si>
  <si>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</si>
  <si>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</si>
  <si>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</si>
  <si>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</si>
  <si>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</si>
  <si>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</si>
  <si>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</si>
  <si>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</si>
  <si>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</si>
  <si>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</si>
  <si>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</si>
  <si>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</si>
  <si>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</si>
  <si>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</si>
  <si>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</si>
  <si>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</si>
  <si>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</si>
  <si>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</si>
  <si>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</si>
  <si>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</si>
  <si>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</si>
  <si>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</si>
  <si>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</si>
  <si>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</si>
  <si>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</si>
  <si>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</si>
  <si>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</si>
  <si>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</si>
  <si>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</si>
  <si>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</si>
  <si>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</si>
  <si>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</si>
  <si>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</si>
  <si>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31594265</t>
  </si>
  <si>
    <t>ООО "СМУ-ТЕХСТРОЙ"</t>
  </si>
  <si>
    <t>1661040854</t>
  </si>
  <si>
    <t>31423166</t>
  </si>
  <si>
    <t>ООО "СТК КОМПЛЕКТ"</t>
  </si>
  <si>
    <t>1659188444</t>
  </si>
  <si>
    <t>12-02-2018 00:00:00</t>
  </si>
  <si>
    <t>31633518</t>
  </si>
  <si>
    <t>ООО "СмартРесурс"</t>
  </si>
  <si>
    <t>1655406532</t>
  </si>
  <si>
    <t>26354364</t>
  </si>
  <si>
    <t>ООО "Спасские коммунальные сети"</t>
  </si>
  <si>
    <t>1637005369</t>
  </si>
  <si>
    <t>163701001</t>
  </si>
  <si>
    <t>31608077</t>
  </si>
  <si>
    <t>ООО "Строймастер"</t>
  </si>
  <si>
    <t>1684003288</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</si>
  <si>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</si>
  <si>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</si>
  <si>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</si>
  <si>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</si>
  <si>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</si>
  <si>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</si>
  <si>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</si>
  <si>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</si>
  <si>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</si>
  <si>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</si>
  <si>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</si>
  <si>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</si>
  <si>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</si>
  <si>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</si>
  <si>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</si>
  <si>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</si>
  <si>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</si>
  <si>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</si>
  <si>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</si>
  <si>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</si>
  <si>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</si>
  <si>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</si>
  <si>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</si>
  <si>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</si>
  <si>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31715942</t>
  </si>
  <si>
    <t>ООО "ТеплоЦентр"</t>
  </si>
  <si>
    <t>1655496328</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</si>
  <si>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</si>
  <si>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</si>
  <si>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</si>
  <si>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</si>
  <si>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</si>
  <si>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</si>
  <si>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</si>
  <si>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</si>
  <si>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</si>
  <si>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</si>
  <si>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</si>
  <si>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</si>
  <si>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</si>
  <si>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</si>
  <si>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</si>
  <si>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</si>
  <si>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</si>
  <si>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</si>
  <si>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</si>
  <si>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</si>
  <si>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</si>
  <si>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</si>
  <si>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</si>
  <si>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</si>
  <si>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</si>
  <si>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</si>
  <si>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</si>
  <si>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</si>
  <si>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</si>
  <si>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</si>
  <si>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</si>
  <si>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28266282</t>
  </si>
  <si>
    <t>ООО "Теплоснабсервис"</t>
  </si>
  <si>
    <t>1655256968</t>
  </si>
  <si>
    <t>31628080</t>
  </si>
  <si>
    <t>ООО "ТрансЭнерго"</t>
  </si>
  <si>
    <t>1683008413</t>
  </si>
  <si>
    <t>168301001</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</si>
  <si>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</si>
  <si>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</si>
  <si>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</si>
  <si>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</si>
  <si>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</si>
  <si>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</si>
  <si>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</si>
  <si>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</si>
  <si>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</si>
  <si>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</si>
  <si>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</si>
  <si>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</si>
  <si>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</si>
  <si>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</si>
  <si>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</si>
  <si>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</si>
  <si>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</si>
  <si>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</si>
  <si>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</si>
  <si>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</si>
  <si>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</si>
  <si>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</si>
  <si>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</si>
  <si>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</si>
  <si>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</si>
  <si>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</si>
  <si>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</si>
  <si>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</si>
  <si>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</si>
  <si>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</si>
  <si>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</si>
  <si>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</si>
  <si>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</si>
  <si>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</si>
  <si>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</si>
  <si>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</si>
  <si>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</si>
  <si>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</si>
  <si>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</si>
  <si>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</si>
  <si>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</si>
  <si>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</si>
  <si>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</si>
  <si>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</si>
  <si>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</si>
  <si>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</si>
  <si>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</si>
  <si>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</si>
  <si>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</si>
  <si>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</si>
  <si>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</si>
  <si>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</si>
  <si>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</si>
  <si>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</si>
  <si>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31605557</t>
  </si>
  <si>
    <t>ООО УК "ВМ-Сервис"</t>
  </si>
  <si>
    <t>1639060573</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</si>
  <si>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</si>
  <si>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</si>
  <si>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</si>
  <si>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</si>
  <si>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</si>
  <si>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</si>
  <si>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</si>
  <si>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</si>
  <si>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</si>
  <si>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</si>
  <si>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</si>
  <si>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</si>
  <si>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</si>
  <si>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</si>
  <si>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</si>
  <si>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</si>
  <si>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</si>
  <si>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</si>
  <si>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</si>
  <si>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</si>
  <si>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</si>
  <si>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</si>
  <si>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</si>
  <si>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</si>
  <si>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</si>
  <si>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</si>
  <si>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</si>
  <si>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</si>
  <si>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</si>
  <si>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</si>
  <si>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</si>
  <si>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</si>
  <si>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</si>
  <si>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</si>
  <si>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</si>
  <si>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</si>
  <si>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</si>
  <si>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</si>
  <si>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</si>
  <si>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</si>
  <si>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</si>
  <si>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</si>
  <si>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</si>
  <si>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</si>
  <si>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</si>
  <si>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</si>
  <si>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</si>
  <si>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</si>
  <si>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</si>
  <si>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</si>
  <si>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</si>
  <si>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</si>
  <si>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</si>
  <si>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</si>
  <si>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</si>
  <si>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</si>
  <si>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</si>
  <si>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</si>
  <si>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</si>
  <si>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</si>
  <si>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</si>
  <si>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</si>
  <si>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30943126</t>
  </si>
  <si>
    <t>ООО "Газпром трансгаз Казань" - филиал Верхнеуслонский район</t>
  </si>
  <si>
    <t>166001002</t>
  </si>
  <si>
    <t>30943118</t>
  </si>
  <si>
    <t>ООО "Газпром трансгаз Казань" - филиал Сабинский район</t>
  </si>
  <si>
    <t>166001000</t>
  </si>
  <si>
    <t>30941880</t>
  </si>
  <si>
    <t>Филиал ОАО "Азнакаевское ПТС" в г.Азнакаево</t>
  </si>
  <si>
    <t>164301002</t>
  </si>
  <si>
    <t>30941853</t>
  </si>
  <si>
    <t>Филиал ОАО "Азнакаевское ПТС" в пгт.Актюбинский</t>
  </si>
  <si>
    <t>164301000</t>
  </si>
  <si>
    <t>30941901</t>
  </si>
  <si>
    <t>Филиал ОАО "Азнакаевское ПТС" в пгт.Джалиль</t>
  </si>
  <si>
    <t>164301003</t>
  </si>
  <si>
    <t>26402601</t>
  </si>
  <si>
    <t>АО "Альметьевск-Водоканал"</t>
  </si>
  <si>
    <t>1644034674</t>
  </si>
  <si>
    <t>28868827</t>
  </si>
  <si>
    <t>АО "Буинск-Водоканал"</t>
  </si>
  <si>
    <t>1614007578</t>
  </si>
  <si>
    <t>29645570</t>
  </si>
  <si>
    <t>АО "ЗВКС"</t>
  </si>
  <si>
    <t>1648041104</t>
  </si>
  <si>
    <t>30906854</t>
  </si>
  <si>
    <t>АО "Кузембетьевский РМЗ"</t>
  </si>
  <si>
    <t>1628000773</t>
  </si>
  <si>
    <t>26405831</t>
  </si>
  <si>
    <t>АО "Мамадышский водоканал"</t>
  </si>
  <si>
    <t>1626008223</t>
  </si>
  <si>
    <t>26405842</t>
  </si>
  <si>
    <t>АО "СОВ-НКНХ"</t>
  </si>
  <si>
    <t>1651052730</t>
  </si>
  <si>
    <t>26405861</t>
  </si>
  <si>
    <t>АО "Тетюши-водоканал"</t>
  </si>
  <si>
    <t>1638004833</t>
  </si>
  <si>
    <t>28932690</t>
  </si>
  <si>
    <t>АО "Чистополь-Водоканал"</t>
  </si>
  <si>
    <t>1652022810</t>
  </si>
  <si>
    <t>26508701</t>
  </si>
  <si>
    <t>ИП Зарипов Н.Г.</t>
  </si>
  <si>
    <t>163100024393</t>
  </si>
  <si>
    <t>30894265</t>
  </si>
  <si>
    <t>ИП Мордвин О. В.</t>
  </si>
  <si>
    <t>183504246637</t>
  </si>
  <si>
    <t>31336366</t>
  </si>
  <si>
    <t>ИП Порабкович Е.П.</t>
  </si>
  <si>
    <t>165042306350</t>
  </si>
  <si>
    <t>27995794</t>
  </si>
  <si>
    <t>КФХ "Козлова М.И."</t>
  </si>
  <si>
    <t>163100013225</t>
  </si>
  <si>
    <t>26804882</t>
  </si>
  <si>
    <t>Казанский филиал Акционерного общества "Девелоперская корпорация "Антей"</t>
  </si>
  <si>
    <t>5029087035</t>
  </si>
  <si>
    <t>163302001</t>
  </si>
  <si>
    <t>28827948</t>
  </si>
  <si>
    <t>МКП БМР "Водоканал"</t>
  </si>
  <si>
    <t>1611290182</t>
  </si>
  <si>
    <t>28507710</t>
  </si>
  <si>
    <t>МУП "Волжанка"</t>
  </si>
  <si>
    <t>1615007482</t>
  </si>
  <si>
    <t>27900153</t>
  </si>
  <si>
    <t>МУП "Елабужский Водоканал"</t>
  </si>
  <si>
    <t>1646033740</t>
  </si>
  <si>
    <t>16-10-2012 00:00:00</t>
  </si>
  <si>
    <t>26405916</t>
  </si>
  <si>
    <t>МУП "ЖКХ (Инженерные сети)"</t>
  </si>
  <si>
    <t>1644045186</t>
  </si>
  <si>
    <t>31442475</t>
  </si>
  <si>
    <t>МУП "Коммунсервис"</t>
  </si>
  <si>
    <t>1604011286</t>
  </si>
  <si>
    <t>30991684</t>
  </si>
  <si>
    <t>МУП "Новошешминское ЖКХ"</t>
  </si>
  <si>
    <t>1631009663</t>
  </si>
  <si>
    <t>31004867</t>
  </si>
  <si>
    <t>МУП "Перспектива"</t>
  </si>
  <si>
    <t>1617005900</t>
  </si>
  <si>
    <t>26405741</t>
  </si>
  <si>
    <t>ОАО "Алексеевскводоканал"</t>
  </si>
  <si>
    <t>1605004556</t>
  </si>
  <si>
    <t>27796151</t>
  </si>
  <si>
    <t>ОАО "Ипотечное агентство Республики Татарстан"</t>
  </si>
  <si>
    <t>1655071678</t>
  </si>
  <si>
    <t>27568731</t>
  </si>
  <si>
    <t>ОАО "Казанский завод синтетического каучука"</t>
  </si>
  <si>
    <t>1659032038</t>
  </si>
  <si>
    <t>11-01-2012 00:00:00</t>
  </si>
  <si>
    <t>26405859</t>
  </si>
  <si>
    <t>ОАО "Масловский"</t>
  </si>
  <si>
    <t>1634003860</t>
  </si>
  <si>
    <t>27773250</t>
  </si>
  <si>
    <t>ОАО "Управление капитального строительства инженерных сетей и развития энергосберегающих технологий Республики Татарстан"</t>
  </si>
  <si>
    <t>1655229717</t>
  </si>
  <si>
    <t>28507936</t>
  </si>
  <si>
    <t>ОАО им.Н.Е.Токарликова</t>
  </si>
  <si>
    <t>1607000853</t>
  </si>
  <si>
    <t>26405759</t>
  </si>
  <si>
    <t>ООО " Водоканал"</t>
  </si>
  <si>
    <t>1601005735</t>
  </si>
  <si>
    <t>05-05-2007 00:00:00</t>
  </si>
  <si>
    <t>30345894</t>
  </si>
  <si>
    <t>ООО "АКВАСНАБ"</t>
  </si>
  <si>
    <t>1633608542</t>
  </si>
  <si>
    <t>26405995</t>
  </si>
  <si>
    <t>ООО "Айзат"</t>
  </si>
  <si>
    <t>1644046574</t>
  </si>
  <si>
    <t>27018980</t>
  </si>
  <si>
    <t>ООО "Алькеевские Коммунальные сети"</t>
  </si>
  <si>
    <t>1606006531</t>
  </si>
  <si>
    <t>160601001</t>
  </si>
  <si>
    <t>10-06-2011 00:00:00</t>
  </si>
  <si>
    <t>26405803</t>
  </si>
  <si>
    <t>ООО "Бирюлинские коммунальные сети"</t>
  </si>
  <si>
    <t>1616018261</t>
  </si>
  <si>
    <t>31696334</t>
  </si>
  <si>
    <t>ООО "Благоустройство П.Ковали"</t>
  </si>
  <si>
    <t>1624009060</t>
  </si>
  <si>
    <t>26405778</t>
  </si>
  <si>
    <t>ООО "Бугульма-Водоканал"</t>
  </si>
  <si>
    <t>1645016886</t>
  </si>
  <si>
    <t>31508002</t>
  </si>
  <si>
    <t>ООО "В-Сервис"</t>
  </si>
  <si>
    <t>1660364599</t>
  </si>
  <si>
    <t>31423889</t>
  </si>
  <si>
    <t>ООО "ВОДОКАНАЛ-НКП"</t>
  </si>
  <si>
    <t>1651087170</t>
  </si>
  <si>
    <t>27-05-2020 00:00:00</t>
  </si>
  <si>
    <t>28261165</t>
  </si>
  <si>
    <t>ООО "Вода района"</t>
  </si>
  <si>
    <t>1649020837</t>
  </si>
  <si>
    <t>09-08-2013 00:00:00</t>
  </si>
  <si>
    <t>31355277</t>
  </si>
  <si>
    <t>ООО "Водоканал Сервис"</t>
  </si>
  <si>
    <t>1648050860</t>
  </si>
  <si>
    <t>26405897</t>
  </si>
  <si>
    <t>ООО "Водоканал"</t>
  </si>
  <si>
    <t>1605005091</t>
  </si>
  <si>
    <t>28449361</t>
  </si>
  <si>
    <t>1649021125</t>
  </si>
  <si>
    <t>31734215</t>
  </si>
  <si>
    <t>1686034669</t>
  </si>
  <si>
    <t>26405775</t>
  </si>
  <si>
    <t>ООО "Водоканал-Сервис"</t>
  </si>
  <si>
    <t>1609010800</t>
  </si>
  <si>
    <t>31681507</t>
  </si>
  <si>
    <t>ООО "Водопроводные и канализационные системы"</t>
  </si>
  <si>
    <t>1684012074</t>
  </si>
  <si>
    <t>26863745</t>
  </si>
  <si>
    <t>ООО "ГидроСервис"</t>
  </si>
  <si>
    <t>1604008847</t>
  </si>
  <si>
    <t>26405922</t>
  </si>
  <si>
    <t>ООО "ЖКПСП "Инфосервис"</t>
  </si>
  <si>
    <t>1644037957</t>
  </si>
  <si>
    <t>26402598</t>
  </si>
  <si>
    <t>ООО "ЖКХ-Миннибаево"</t>
  </si>
  <si>
    <t>1644042266</t>
  </si>
  <si>
    <t>26405773</t>
  </si>
  <si>
    <t>ООО "ЖилКомСервис"</t>
  </si>
  <si>
    <t>1608007192</t>
  </si>
  <si>
    <t>160801001</t>
  </si>
  <si>
    <t>26509740</t>
  </si>
  <si>
    <t>ООО "Жилбыт"</t>
  </si>
  <si>
    <t>1633606697</t>
  </si>
  <si>
    <t>28975173</t>
  </si>
  <si>
    <t>ООО "Заинский Водоканал"</t>
  </si>
  <si>
    <t>1647016930</t>
  </si>
  <si>
    <t>31576411</t>
  </si>
  <si>
    <t>ООО "Инженерные коммуникации"</t>
  </si>
  <si>
    <t>1646049644</t>
  </si>
  <si>
    <t>29-10-2021 00:00:00</t>
  </si>
  <si>
    <t>26406312</t>
  </si>
  <si>
    <t>ООО "КФХ" Архангельское"</t>
  </si>
  <si>
    <t>1631004111</t>
  </si>
  <si>
    <t>28508752</t>
  </si>
  <si>
    <t>ООО "КЭСП"</t>
  </si>
  <si>
    <t>1651037732</t>
  </si>
  <si>
    <t>31623374</t>
  </si>
  <si>
    <t>ООО "Коммунальные ресурсы"</t>
  </si>
  <si>
    <t>1616030460</t>
  </si>
  <si>
    <t>26791391</t>
  </si>
  <si>
    <t>ООО "Коммунальные сети - Круглое Поле"</t>
  </si>
  <si>
    <t>1639044500</t>
  </si>
  <si>
    <t>27830961</t>
  </si>
  <si>
    <t>ООО "Куркачинские сети"</t>
  </si>
  <si>
    <t>1616022290</t>
  </si>
  <si>
    <t>04-06-2012 00:00:00</t>
  </si>
  <si>
    <t>28466743</t>
  </si>
  <si>
    <t>ООО "МКД Сервис"</t>
  </si>
  <si>
    <t>1648037193</t>
  </si>
  <si>
    <t>31475446</t>
  </si>
  <si>
    <t>ООО "Мензелинская управляющая компания"</t>
  </si>
  <si>
    <t>1628009215</t>
  </si>
  <si>
    <t>29648308</t>
  </si>
  <si>
    <t>ООО "Плауэн"</t>
  </si>
  <si>
    <t>1656070050</t>
  </si>
  <si>
    <t>26508631</t>
  </si>
  <si>
    <t>ООО "Промочистка"</t>
  </si>
  <si>
    <t>1632010887</t>
  </si>
  <si>
    <t>01-01-2010 00:00:00</t>
  </si>
  <si>
    <t>30856907</t>
  </si>
  <si>
    <t>ООО "РСО "ЭКО"</t>
  </si>
  <si>
    <t>1633006837</t>
  </si>
  <si>
    <t>28821707</t>
  </si>
  <si>
    <t>ООО "Родник"</t>
  </si>
  <si>
    <t>1614012070</t>
  </si>
  <si>
    <t>31335952</t>
  </si>
  <si>
    <t>ООО "СКС"</t>
  </si>
  <si>
    <t>1624016892</t>
  </si>
  <si>
    <t>26641541</t>
  </si>
  <si>
    <t>ООО "Светводканал"</t>
  </si>
  <si>
    <t>1636006352</t>
  </si>
  <si>
    <t>30847450</t>
  </si>
  <si>
    <t>ООО "Спецтехника"</t>
  </si>
  <si>
    <t>1632016215</t>
  </si>
  <si>
    <t>30946055</t>
  </si>
  <si>
    <t>ООО "ТИС"</t>
  </si>
  <si>
    <t>1646038804</t>
  </si>
  <si>
    <t>31603712</t>
  </si>
  <si>
    <t>ООО "ТУГАН ЯК"</t>
  </si>
  <si>
    <t>1655362211</t>
  </si>
  <si>
    <t>31364662</t>
  </si>
  <si>
    <t>ООО "ТатСтройКа"</t>
  </si>
  <si>
    <t>1658147646</t>
  </si>
  <si>
    <t>31434101</t>
  </si>
  <si>
    <t>ООО "Тихоново-сервис"</t>
  </si>
  <si>
    <t>1627017911</t>
  </si>
  <si>
    <t>28823340</t>
  </si>
  <si>
    <t>ООО "Тукаевский водоканал"</t>
  </si>
  <si>
    <t>1639046811</t>
  </si>
  <si>
    <t>30855382</t>
  </si>
  <si>
    <t>ООО "УК "Загородный клуб"</t>
  </si>
  <si>
    <t>1656069819</t>
  </si>
  <si>
    <t>28828635</t>
  </si>
  <si>
    <t>ООО "УК "Осиново"</t>
  </si>
  <si>
    <t>1648031152</t>
  </si>
  <si>
    <t>31354554</t>
  </si>
  <si>
    <t>ООО "УК "Созидание"</t>
  </si>
  <si>
    <t>1619005951</t>
  </si>
  <si>
    <t>27898303</t>
  </si>
  <si>
    <t>ООО "УПТЖ для ППД"</t>
  </si>
  <si>
    <t>1644066080</t>
  </si>
  <si>
    <t>27686388</t>
  </si>
  <si>
    <t>ООО "Управление"</t>
  </si>
  <si>
    <t>1612005455</t>
  </si>
  <si>
    <t>28794665</t>
  </si>
  <si>
    <t>ООО "Управляющая компания "Нефтяник"</t>
  </si>
  <si>
    <t>1645029349</t>
  </si>
  <si>
    <t>26405899</t>
  </si>
  <si>
    <t>ООО "Управляющая компания "Ореховка"</t>
  </si>
  <si>
    <t>1657075332</t>
  </si>
  <si>
    <t>31733912</t>
  </si>
  <si>
    <t>ООО "Управляющая компания "РОСА"</t>
  </si>
  <si>
    <t>1655495388</t>
  </si>
  <si>
    <t>31444763</t>
  </si>
  <si>
    <t>ООО "Управляющая компания "СМП-184"</t>
  </si>
  <si>
    <t>1601008711</t>
  </si>
  <si>
    <t>31337960</t>
  </si>
  <si>
    <t>ООО "Управляющая компания "Технополис "Новая Тура"</t>
  </si>
  <si>
    <t>1655228689</t>
  </si>
  <si>
    <t>27829636</t>
  </si>
  <si>
    <t>ООО "Уруссу-Водоканал"</t>
  </si>
  <si>
    <t>1642005741</t>
  </si>
  <si>
    <t>26491020</t>
  </si>
  <si>
    <t>ООО "Фирма "Никос  и Мария"</t>
  </si>
  <si>
    <t>1655031523</t>
  </si>
  <si>
    <t>27761259</t>
  </si>
  <si>
    <t>ООО "Центр обслуживания поселений"</t>
  </si>
  <si>
    <t>1626013174</t>
  </si>
  <si>
    <t>03-05-2012 00:00:00</t>
  </si>
  <si>
    <t>28857397</t>
  </si>
  <si>
    <t>ООО "Челныводоканал"</t>
  </si>
  <si>
    <t>1650297657</t>
  </si>
  <si>
    <t>01-12-2014 00:00:00</t>
  </si>
  <si>
    <t>28982561</t>
  </si>
  <si>
    <t>ООО "Чистая вода"</t>
  </si>
  <si>
    <t>1632008197</t>
  </si>
  <si>
    <t>27836210</t>
  </si>
  <si>
    <t>ООО "Чистопольское сельское жилищно-коммунальное хозяйство"</t>
  </si>
  <si>
    <t>1652020019</t>
  </si>
  <si>
    <t>03-08-2012 00:00:00</t>
  </si>
  <si>
    <t>31356515</t>
  </si>
  <si>
    <t>ООО "ШУНЫТ"</t>
  </si>
  <si>
    <t>1821014502</t>
  </si>
  <si>
    <t>182101001</t>
  </si>
  <si>
    <t>26402599</t>
  </si>
  <si>
    <t>ООО "Шанс"</t>
  </si>
  <si>
    <t>1644041921</t>
  </si>
  <si>
    <t>31336379</t>
  </si>
  <si>
    <t>ООО "Электрические сети"</t>
  </si>
  <si>
    <t>1660313890</t>
  </si>
  <si>
    <t>31166318</t>
  </si>
  <si>
    <t>ООО «Октябрьские инженерные сети»</t>
  </si>
  <si>
    <t>1648045740</t>
  </si>
  <si>
    <t>26407437</t>
  </si>
  <si>
    <t>ОСПК "Народное предприятие - Родная Земля"</t>
  </si>
  <si>
    <t>1646020155</t>
  </si>
  <si>
    <t>31300659</t>
  </si>
  <si>
    <t>Общество с ограниченной ответственностью "Районные Коммунальные Сети"</t>
  </si>
  <si>
    <t>1633007848</t>
  </si>
  <si>
    <t>28507852</t>
  </si>
  <si>
    <t>ПАО "Татнефть" им.В.Д.Шашина"</t>
  </si>
  <si>
    <t>1644003838</t>
  </si>
  <si>
    <t>164631002</t>
  </si>
  <si>
    <t>28096875</t>
  </si>
  <si>
    <t>Птицефабрика "Яратель" филиал ООО "Птицеводческий комплекс "Ак барс"</t>
  </si>
  <si>
    <t>1648022038</t>
  </si>
  <si>
    <t>162443001</t>
  </si>
  <si>
    <t>21-02-2013 00:00:00</t>
  </si>
  <si>
    <t>28968849</t>
  </si>
  <si>
    <t>ТСЖ "Апрель"</t>
  </si>
  <si>
    <t>1646032739</t>
  </si>
  <si>
    <t>26405869</t>
  </si>
  <si>
    <t>ТСЖ "Нефтебаза"</t>
  </si>
  <si>
    <t>1639025113</t>
  </si>
  <si>
    <t>28262238</t>
  </si>
  <si>
    <t>ТСЖ "Новая Тура"</t>
  </si>
  <si>
    <t>1648036496</t>
  </si>
  <si>
    <t>26453514</t>
  </si>
  <si>
    <t>ТСЖ "Тихоново-сервис"</t>
  </si>
  <si>
    <t>1627006483</t>
  </si>
  <si>
    <t>28272815</t>
  </si>
  <si>
    <t>Филиал "Спасский АО "УКС"</t>
  </si>
  <si>
    <t>163743001</t>
  </si>
  <si>
    <t>26322568</t>
  </si>
  <si>
    <t>АО "ПО ЕлАЗ"</t>
  </si>
  <si>
    <t>1646016818</t>
  </si>
  <si>
    <t>26322540</t>
  </si>
  <si>
    <t>АО "Химический завод им. Л.Я. Карпова"</t>
  </si>
  <si>
    <t>1627001703</t>
  </si>
  <si>
    <t>31043435</t>
  </si>
  <si>
    <t>МУП "Городское благоустройство"</t>
  </si>
  <si>
    <t>1656060502</t>
  </si>
  <si>
    <t>01-01-2017 00:00:00</t>
  </si>
  <si>
    <t>26405760</t>
  </si>
  <si>
    <t>ООО " Водоканалсервис"</t>
  </si>
  <si>
    <t>1601005326</t>
  </si>
  <si>
    <t>13-10-2003 00:00:00</t>
  </si>
  <si>
    <t>31421261</t>
  </si>
  <si>
    <t>ООО "ВолгаСтройСервис"</t>
  </si>
  <si>
    <t>1659190644</t>
  </si>
  <si>
    <t>31193178</t>
  </si>
  <si>
    <t>1606007126</t>
  </si>
  <si>
    <t>27-08-2018 00:00:00</t>
  </si>
  <si>
    <t>31317274</t>
  </si>
  <si>
    <t>ООО "Казжилстройсервис"</t>
  </si>
  <si>
    <t>1660062848</t>
  </si>
  <si>
    <t>30839588</t>
  </si>
  <si>
    <t>ООО "Коммунальный сервис"</t>
  </si>
  <si>
    <t>1624015296</t>
  </si>
  <si>
    <t>26756157</t>
  </si>
  <si>
    <t>ООО "Птицеводческий комплекс "Ак Барс"</t>
  </si>
  <si>
    <t>30870749</t>
  </si>
  <si>
    <t>ООО "СТОК"</t>
  </si>
  <si>
    <t>1623013666</t>
  </si>
  <si>
    <t>28446111</t>
  </si>
  <si>
    <t>филиал ООО "Азбука сыра" " Мамадышский завод"</t>
  </si>
  <si>
    <t>1660183627</t>
  </si>
  <si>
    <t>26402611</t>
  </si>
  <si>
    <t>АО "ДЖКХ (Благоустройство)"</t>
  </si>
  <si>
    <t>1636005831</t>
  </si>
  <si>
    <t>26405772</t>
  </si>
  <si>
    <t>АО "Экосервис"</t>
  </si>
  <si>
    <t>1644037227</t>
  </si>
  <si>
    <t>31366664</t>
  </si>
  <si>
    <t>ИП Насыбуллин Р.Ф.</t>
  </si>
  <si>
    <t>165700765608</t>
  </si>
  <si>
    <t>26405821</t>
  </si>
  <si>
    <t>ИП Шакиров Ришат Фаритович</t>
  </si>
  <si>
    <t>164704581705</t>
  </si>
  <si>
    <t>31269923</t>
  </si>
  <si>
    <t>Индивидуальный предприниматель Хикматуллин Р.Т.</t>
  </si>
  <si>
    <t>162100918208</t>
  </si>
  <si>
    <t>31772668</t>
  </si>
  <si>
    <t>МБУ "УПРАВЛЕНИЕ ПО БЛАГОУСТРОЙСТВУ И ОЗЕЛЕНЕНИЮ" БМР РТ</t>
  </si>
  <si>
    <t>1644107851</t>
  </si>
  <si>
    <t>31366672</t>
  </si>
  <si>
    <t>МУП ДРЭУ Кировского р-на г.Казани</t>
  </si>
  <si>
    <t>1656020500</t>
  </si>
  <si>
    <t>31366689</t>
  </si>
  <si>
    <t>МУП трест Горводзеленхоз</t>
  </si>
  <si>
    <t>1653012250</t>
  </si>
  <si>
    <t>26405800</t>
  </si>
  <si>
    <t>ОАО "Буинское МПП ЖКХ" (Инженерные сети)</t>
  </si>
  <si>
    <t>1614007592</t>
  </si>
  <si>
    <t>31766135</t>
  </si>
  <si>
    <t>ООО "Актанышский полигон ТБО"</t>
  </si>
  <si>
    <t>1674010180</t>
  </si>
  <si>
    <t>167401001</t>
  </si>
  <si>
    <t>30901456</t>
  </si>
  <si>
    <t>ООО "Благоустройство и Озеленение"</t>
  </si>
  <si>
    <t>1649036555</t>
  </si>
  <si>
    <t>26412356</t>
  </si>
  <si>
    <t>ООО "Благоустройство"</t>
  </si>
  <si>
    <t>1603005755</t>
  </si>
  <si>
    <t>160301001</t>
  </si>
  <si>
    <t>28814244</t>
  </si>
  <si>
    <t>1612008618</t>
  </si>
  <si>
    <t>26468210</t>
  </si>
  <si>
    <t>1636005969</t>
  </si>
  <si>
    <t>27735168</t>
  </si>
  <si>
    <t>1656061048</t>
  </si>
  <si>
    <t>26491844</t>
  </si>
  <si>
    <t>ООО "Вейст Системз"</t>
  </si>
  <si>
    <t>1655094820</t>
  </si>
  <si>
    <t>31419045</t>
  </si>
  <si>
    <t>ООО "ГорЗеленТранс"</t>
  </si>
  <si>
    <t>1660335622</t>
  </si>
  <si>
    <t>31079465</t>
  </si>
  <si>
    <t>ООО "Гринта"</t>
  </si>
  <si>
    <t>1650326509</t>
  </si>
  <si>
    <t>31075772</t>
  </si>
  <si>
    <t>ООО "Гринта-ТК"</t>
  </si>
  <si>
    <t>1655397609</t>
  </si>
  <si>
    <t>26402592</t>
  </si>
  <si>
    <t>ООО "Жилкомбытсервис"</t>
  </si>
  <si>
    <t>1609009587</t>
  </si>
  <si>
    <t>26405875</t>
  </si>
  <si>
    <t>ООО "Индустрия"</t>
  </si>
  <si>
    <t>1652011254</t>
  </si>
  <si>
    <t>31745472</t>
  </si>
  <si>
    <t>ООО "КООРДИНАТА-ТКО"</t>
  </si>
  <si>
    <t>1660335541</t>
  </si>
  <si>
    <t>30435815</t>
  </si>
  <si>
    <t>ООО "КомунСервис"</t>
  </si>
  <si>
    <t>1650226102</t>
  </si>
  <si>
    <t>30984457</t>
  </si>
  <si>
    <t>ООО "МПО ЖХ и Б"</t>
  </si>
  <si>
    <t>9721009888</t>
  </si>
  <si>
    <t>772101001</t>
  </si>
  <si>
    <t>26405830</t>
  </si>
  <si>
    <t>ООО "Мамадыш ЖКУ"</t>
  </si>
  <si>
    <t>1626008569</t>
  </si>
  <si>
    <t>30944774</t>
  </si>
  <si>
    <t>ООО "Мехуборка К"</t>
  </si>
  <si>
    <t>1650308764</t>
  </si>
  <si>
    <t>31419088</t>
  </si>
  <si>
    <t>ООО "Мехуборка-Закамье"</t>
  </si>
  <si>
    <t>1650277763</t>
  </si>
  <si>
    <t>31364278</t>
  </si>
  <si>
    <t>ООО "НК-Сервис Заинск"</t>
  </si>
  <si>
    <t>1647016056</t>
  </si>
  <si>
    <t>29-11-2013 00:00:00</t>
  </si>
  <si>
    <t>30856429</t>
  </si>
  <si>
    <t>ООО "Новокинерские коммунальные услуги"</t>
  </si>
  <si>
    <t>1609012491</t>
  </si>
  <si>
    <t>27507472</t>
  </si>
  <si>
    <t>ООО "ПЭК"</t>
  </si>
  <si>
    <t>1650164960</t>
  </si>
  <si>
    <t>28-11-2011 00:00:00</t>
  </si>
  <si>
    <t>28135887</t>
  </si>
  <si>
    <t>ООО "Поволжская экологическая компания"</t>
  </si>
  <si>
    <t>1624444626</t>
  </si>
  <si>
    <t>31361612</t>
  </si>
  <si>
    <t>ООО "Полигон НК"</t>
  </si>
  <si>
    <t>1651085373</t>
  </si>
  <si>
    <t>26405762</t>
  </si>
  <si>
    <t>ООО "Полигон ТБО"</t>
  </si>
  <si>
    <t>1643006096</t>
  </si>
  <si>
    <t>26405777</t>
  </si>
  <si>
    <t>1645015057</t>
  </si>
  <si>
    <t>26405864</t>
  </si>
  <si>
    <t>ООО "Полигон"</t>
  </si>
  <si>
    <t>1605005711</t>
  </si>
  <si>
    <t>26405801</t>
  </si>
  <si>
    <t>1616009732</t>
  </si>
  <si>
    <t>31696586</t>
  </si>
  <si>
    <t>ООО "Полигон-2"</t>
  </si>
  <si>
    <t>1645016300</t>
  </si>
  <si>
    <t>26491432</t>
  </si>
  <si>
    <t>ООО "Предприятие жилищно-коммунального хозяйства"</t>
  </si>
  <si>
    <t>1660086574</t>
  </si>
  <si>
    <t>30900828</t>
  </si>
  <si>
    <t>ООО "СЭС-Регион"</t>
  </si>
  <si>
    <t>1644089144</t>
  </si>
  <si>
    <t>31364274</t>
  </si>
  <si>
    <t>ООО "СанТэкСервис"</t>
  </si>
  <si>
    <t>1651083464</t>
  </si>
  <si>
    <t>26508785</t>
  </si>
  <si>
    <t>ООО "Тепличный комбинат "Майский"</t>
  </si>
  <si>
    <t>1655059656</t>
  </si>
  <si>
    <t>26405862</t>
  </si>
  <si>
    <t>ООО "Тетюши Жилсервис"</t>
  </si>
  <si>
    <t>1638006196</t>
  </si>
  <si>
    <t>30848601</t>
  </si>
  <si>
    <t>ООО "УК "ПЖКХ"</t>
  </si>
  <si>
    <t>1660274803</t>
  </si>
  <si>
    <t>31768411</t>
  </si>
  <si>
    <t>ООО "УК ЖКХ НМР РТ"</t>
  </si>
  <si>
    <t>1677004259</t>
  </si>
  <si>
    <t>167701001</t>
  </si>
  <si>
    <t>30-09-2024 00:00:00</t>
  </si>
  <si>
    <t>31278720</t>
  </si>
  <si>
    <t>ООО "УК" ЭКОПАРК"</t>
  </si>
  <si>
    <t>1659134304</t>
  </si>
  <si>
    <t>26405880</t>
  </si>
  <si>
    <t>ООО "Фламинго"</t>
  </si>
  <si>
    <t>1617003677</t>
  </si>
  <si>
    <t>31477248</t>
  </si>
  <si>
    <t>ООО "ЧИСТАЯ ПЛАНЕТА"</t>
  </si>
  <si>
    <t>1644092820</t>
  </si>
  <si>
    <t>27972811</t>
  </si>
  <si>
    <t>ООО "Чиста район"</t>
  </si>
  <si>
    <t>1608008830</t>
  </si>
  <si>
    <t>31419096</t>
  </si>
  <si>
    <t>ООО "Чистая Республика"</t>
  </si>
  <si>
    <t>1655423584</t>
  </si>
  <si>
    <t>31366978</t>
  </si>
  <si>
    <t>ООО "Чистый Город"</t>
  </si>
  <si>
    <t>1660124195</t>
  </si>
  <si>
    <t>31483599</t>
  </si>
  <si>
    <t>ООО "Чистый город А"</t>
  </si>
  <si>
    <t>1650160980</t>
  </si>
  <si>
    <t>31419092</t>
  </si>
  <si>
    <t>ООО "Чистый город К"</t>
  </si>
  <si>
    <t>1650160998</t>
  </si>
  <si>
    <t>31364305</t>
  </si>
  <si>
    <t>ООО "Чистый город Ц"</t>
  </si>
  <si>
    <t>1650160966</t>
  </si>
  <si>
    <t>30899046</t>
  </si>
  <si>
    <t>ООО "Чистый город"</t>
  </si>
  <si>
    <t>1644071644</t>
  </si>
  <si>
    <t>31364282</t>
  </si>
  <si>
    <t>ООО "Эко-Пром"</t>
  </si>
  <si>
    <t>1655322900</t>
  </si>
  <si>
    <t>26405824</t>
  </si>
  <si>
    <t>ООО "Эко-сервис"</t>
  </si>
  <si>
    <t>1623008063</t>
  </si>
  <si>
    <t>28858867</t>
  </si>
  <si>
    <t>ООО "ЭкоСистемы"</t>
  </si>
  <si>
    <t>1660173347</t>
  </si>
  <si>
    <t>164245001</t>
  </si>
  <si>
    <t>31364228</t>
  </si>
  <si>
    <t>ООО "Эколидер"</t>
  </si>
  <si>
    <t>1650364470</t>
  </si>
  <si>
    <t>26405833</t>
  </si>
  <si>
    <t>ООО "Экология"</t>
  </si>
  <si>
    <t>1627004920</t>
  </si>
  <si>
    <t>31342471</t>
  </si>
  <si>
    <t>ООО "Экорес"</t>
  </si>
  <si>
    <t>1648048773</t>
  </si>
  <si>
    <t>30991718</t>
  </si>
  <si>
    <t>ООО "Экосервис"</t>
  </si>
  <si>
    <t>1652024366</t>
  </si>
  <si>
    <t>31679322</t>
  </si>
  <si>
    <t>ООО "ЯКТЫ ЮЛ"</t>
  </si>
  <si>
    <t>1655423778</t>
  </si>
  <si>
    <t>31366703</t>
  </si>
  <si>
    <t>ООО Блик</t>
  </si>
  <si>
    <t>1655165654</t>
  </si>
  <si>
    <t>31366707</t>
  </si>
  <si>
    <t>ООО Буревестник</t>
  </si>
  <si>
    <t>1659068588</t>
  </si>
  <si>
    <t>31366984</t>
  </si>
  <si>
    <t>ООО ГК Грин Сити</t>
  </si>
  <si>
    <t>1648042490</t>
  </si>
  <si>
    <t>31366712</t>
  </si>
  <si>
    <t>ООО Жилсервис плюс</t>
  </si>
  <si>
    <t>1657241389</t>
  </si>
  <si>
    <t>31366988</t>
  </si>
  <si>
    <t>ООО Комтех</t>
  </si>
  <si>
    <t>1659074567</t>
  </si>
  <si>
    <t>31366716</t>
  </si>
  <si>
    <t>ООО Ландшафт-Строй</t>
  </si>
  <si>
    <t>1660235681</t>
  </si>
  <si>
    <t>31366992</t>
  </si>
  <si>
    <t>ООО Мехуборка КЗН</t>
  </si>
  <si>
    <t>1659064801</t>
  </si>
  <si>
    <t>31366720</t>
  </si>
  <si>
    <t>ООО НАТЭКС</t>
  </si>
  <si>
    <t>1660084520</t>
  </si>
  <si>
    <t>31366748</t>
  </si>
  <si>
    <t>ООО Ципьинское МПП</t>
  </si>
  <si>
    <t>1612008576</t>
  </si>
  <si>
    <t>31366996</t>
  </si>
  <si>
    <t>ООО ЭкоАвтотрейд</t>
  </si>
  <si>
    <t>1615007115</t>
  </si>
  <si>
    <t>31366753</t>
  </si>
  <si>
    <t>ООО ЭкоМир Казань</t>
  </si>
  <si>
    <t>1660117952</t>
  </si>
  <si>
    <t>31366757</t>
  </si>
  <si>
    <t>ООО Экотех</t>
  </si>
  <si>
    <t>1656098432</t>
  </si>
  <si>
    <t>31366761</t>
  </si>
  <si>
    <t>ООО ЭлитСервис</t>
  </si>
  <si>
    <t>1658155260</t>
  </si>
  <si>
    <t>31366765</t>
  </si>
  <si>
    <t>ООО Эстетика</t>
  </si>
  <si>
    <t>1661038492</t>
  </si>
  <si>
    <t>NSRF</t>
  </si>
  <si>
    <t>MR_NAME</t>
  </si>
  <si>
    <t>OKTMO_MR_NAME</t>
  </si>
  <si>
    <t>MO_NAME</t>
  </si>
  <si>
    <t>OKTMO_NAME</t>
  </si>
  <si>
    <t>TYPE</t>
  </si>
  <si>
    <t>MR_ID</t>
  </si>
  <si>
    <t>Агрызский муниципальный район</t>
  </si>
  <si>
    <t>92601000</t>
  </si>
  <si>
    <t>муниципальный район</t>
  </si>
  <si>
    <t>Азевское</t>
  </si>
  <si>
    <t>92601405</t>
  </si>
  <si>
    <t>сельское поселение</t>
  </si>
  <si>
    <t>Бимское</t>
  </si>
  <si>
    <t>92601410</t>
  </si>
  <si>
    <t>Город Агрыз</t>
  </si>
  <si>
    <t>92601101</t>
  </si>
  <si>
    <t>городское поселение, в состав которого входит город</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</si>
  <si>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</si>
  <si>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</si>
  <si>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</si>
  <si>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</si>
  <si>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</si>
  <si>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</si>
  <si>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</si>
  <si>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</si>
  <si>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</si>
  <si>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</si>
  <si>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</si>
  <si>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</si>
  <si>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</si>
  <si>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</si>
  <si>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</si>
  <si>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</si>
  <si>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</si>
  <si>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</si>
  <si>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</si>
  <si>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</si>
  <si>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</si>
  <si>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</si>
  <si>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</si>
  <si>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</si>
  <si>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</si>
  <si>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</si>
  <si>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</si>
  <si>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</si>
  <si>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</si>
  <si>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</si>
  <si>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</si>
  <si>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</si>
  <si>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</si>
  <si>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</si>
  <si>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</si>
  <si>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</si>
  <si>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</si>
  <si>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</si>
  <si>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</si>
  <si>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</si>
  <si>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</si>
  <si>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</si>
  <si>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</si>
  <si>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</si>
  <si>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</si>
  <si>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</si>
  <si>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</si>
  <si>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</si>
  <si>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</si>
  <si>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</si>
  <si>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</si>
  <si>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</si>
  <si>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</si>
  <si>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</si>
  <si>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</si>
  <si>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</si>
  <si>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</si>
  <si>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</si>
  <si>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</si>
  <si>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</si>
  <si>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</si>
  <si>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</si>
  <si>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</si>
  <si>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</si>
  <si>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</si>
  <si>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</si>
  <si>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</si>
  <si>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</si>
  <si>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</si>
  <si>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</si>
  <si>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</si>
  <si>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</si>
  <si>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</si>
  <si>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</si>
  <si>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</si>
  <si>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</si>
  <si>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</si>
  <si>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</si>
  <si>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</si>
  <si>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</si>
  <si>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</si>
  <si>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</si>
  <si>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</si>
  <si>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</si>
  <si>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</si>
  <si>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</si>
  <si>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</si>
  <si>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</si>
  <si>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</si>
  <si>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</si>
  <si>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</si>
  <si>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</si>
  <si>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</si>
  <si>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</si>
  <si>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</si>
  <si>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</si>
  <si>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городское поселение, в состав которого входит поселок</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</si>
  <si>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</si>
  <si>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</si>
  <si>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</si>
  <si>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</si>
  <si>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</si>
  <si>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</si>
  <si>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</si>
  <si>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</si>
  <si>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</si>
  <si>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</si>
  <si>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</si>
  <si>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</si>
  <si>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</si>
  <si>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</si>
  <si>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</si>
  <si>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</si>
  <si>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60</t>
  </si>
  <si>
    <t>Новокиреметское</t>
  </si>
  <si>
    <t>92604435</t>
  </si>
  <si>
    <t>61</t>
  </si>
  <si>
    <t>Саврушское</t>
  </si>
  <si>
    <t>92604445</t>
  </si>
  <si>
    <t>62</t>
  </si>
  <si>
    <t>Староибрайкинское</t>
  </si>
  <si>
    <t>92604450</t>
  </si>
  <si>
    <t>63</t>
  </si>
  <si>
    <t>Староильдеряковское</t>
  </si>
  <si>
    <t>92604455</t>
  </si>
  <si>
    <t>64</t>
  </si>
  <si>
    <t>Старокиреметское</t>
  </si>
  <si>
    <t>92604460</t>
  </si>
  <si>
    <t>65</t>
  </si>
  <si>
    <t>Старокиязлинское</t>
  </si>
  <si>
    <t>92604465</t>
  </si>
  <si>
    <t>Старотатарско-Адамское</t>
  </si>
  <si>
    <t>92604468</t>
  </si>
  <si>
    <t>67</t>
  </si>
  <si>
    <t>Старотимошкинское</t>
  </si>
  <si>
    <t>92604470</t>
  </si>
  <si>
    <t>Староузеевское</t>
  </si>
  <si>
    <t>92604475</t>
  </si>
  <si>
    <t>69</t>
  </si>
  <si>
    <t>Сунчелеевское</t>
  </si>
  <si>
    <t>92604480</t>
  </si>
  <si>
    <t>70</t>
  </si>
  <si>
    <t>Трудолюбовское</t>
  </si>
  <si>
    <t>92604485</t>
  </si>
  <si>
    <t>71</t>
  </si>
  <si>
    <t>Урмандеевское</t>
  </si>
  <si>
    <t>92604490</t>
  </si>
  <si>
    <t>72</t>
  </si>
  <si>
    <t>Щербенское</t>
  </si>
  <si>
    <t>92604493</t>
  </si>
  <si>
    <t>73</t>
  </si>
  <si>
    <t>поселок городского типа Аксубаево</t>
  </si>
  <si>
    <t>92604151</t>
  </si>
  <si>
    <t>74</t>
  </si>
  <si>
    <t>Актанышский муниципальный район</t>
  </si>
  <si>
    <t>92605000</t>
  </si>
  <si>
    <t>Аишевское</t>
  </si>
  <si>
    <t>92605402</t>
  </si>
  <si>
    <t>75</t>
  </si>
  <si>
    <t>Аккузовское</t>
  </si>
  <si>
    <t>92605404</t>
  </si>
  <si>
    <t>76</t>
  </si>
  <si>
    <t>Актанышбашское</t>
  </si>
  <si>
    <t>92605408</t>
  </si>
  <si>
    <t>77</t>
  </si>
  <si>
    <t>78</t>
  </si>
  <si>
    <t>Актанышское</t>
  </si>
  <si>
    <t>92605409</t>
  </si>
  <si>
    <t>79</t>
  </si>
  <si>
    <t>Атясевское</t>
  </si>
  <si>
    <t>92605411</t>
  </si>
  <si>
    <t>80</t>
  </si>
  <si>
    <t>Верхнеяхшеевское</t>
  </si>
  <si>
    <t>92605415</t>
  </si>
  <si>
    <t>81</t>
  </si>
  <si>
    <t>Казкеевское</t>
  </si>
  <si>
    <t>92605419</t>
  </si>
  <si>
    <t>82</t>
  </si>
  <si>
    <t>Кировское</t>
  </si>
  <si>
    <t>92605423</t>
  </si>
  <si>
    <t>83</t>
  </si>
  <si>
    <t>Кузякинское</t>
  </si>
  <si>
    <t>92605427</t>
  </si>
  <si>
    <t>84</t>
  </si>
  <si>
    <t>Масадинское</t>
  </si>
  <si>
    <t>92605438</t>
  </si>
  <si>
    <t>85</t>
  </si>
  <si>
    <t>Новоалимовское</t>
  </si>
  <si>
    <t>92605434</t>
  </si>
  <si>
    <t>86</t>
  </si>
  <si>
    <t>Поисевское</t>
  </si>
  <si>
    <t>92605441</t>
  </si>
  <si>
    <t>87</t>
  </si>
  <si>
    <t>Староаймановское</t>
  </si>
  <si>
    <t>92605445</t>
  </si>
  <si>
    <t>88</t>
  </si>
  <si>
    <t>Старобайсаровское</t>
  </si>
  <si>
    <t>92605448</t>
  </si>
  <si>
    <t>89</t>
  </si>
  <si>
    <t>Старобугадинское</t>
  </si>
  <si>
    <t>92605451</t>
  </si>
  <si>
    <t>90</t>
  </si>
  <si>
    <t>Старокурмашевское</t>
  </si>
  <si>
    <t>92605454</t>
  </si>
  <si>
    <t>91</t>
  </si>
  <si>
    <t>Старосафаровское</t>
  </si>
  <si>
    <t>92605457</t>
  </si>
  <si>
    <t>92</t>
  </si>
  <si>
    <t>Такталачукское</t>
  </si>
  <si>
    <t>92605464</t>
  </si>
  <si>
    <t>93</t>
  </si>
  <si>
    <t>Татарско-Суксинское</t>
  </si>
  <si>
    <t>92605470</t>
  </si>
  <si>
    <t>94</t>
  </si>
  <si>
    <t>Татарско-Ямалинское</t>
  </si>
  <si>
    <t>92605473</t>
  </si>
  <si>
    <t>95</t>
  </si>
  <si>
    <t>Тлякеевское</t>
  </si>
  <si>
    <t>92605477</t>
  </si>
  <si>
    <t>96</t>
  </si>
  <si>
    <t>Тюковское</t>
  </si>
  <si>
    <t>92605481</t>
  </si>
  <si>
    <t>97</t>
  </si>
  <si>
    <t>92605430</t>
  </si>
  <si>
    <t>98</t>
  </si>
  <si>
    <t>Усинское</t>
  </si>
  <si>
    <t>92605432</t>
  </si>
  <si>
    <t>99</t>
  </si>
  <si>
    <t>Чалманаратское</t>
  </si>
  <si>
    <t>92605485</t>
  </si>
  <si>
    <t>100</t>
  </si>
  <si>
    <t>Чуракаевское</t>
  </si>
  <si>
    <t>92605493</t>
  </si>
  <si>
    <t>101</t>
  </si>
  <si>
    <t>Алексеевский муниципальный район</t>
  </si>
  <si>
    <t>92606000</t>
  </si>
  <si>
    <t>102</t>
  </si>
  <si>
    <t>Билярское</t>
  </si>
  <si>
    <t>92606405</t>
  </si>
  <si>
    <t>103</t>
  </si>
  <si>
    <t>Большеполянское</t>
  </si>
  <si>
    <t>92606410</t>
  </si>
  <si>
    <t>104</t>
  </si>
  <si>
    <t>Большетиганское</t>
  </si>
  <si>
    <t>92606415</t>
  </si>
  <si>
    <t>105</t>
  </si>
  <si>
    <t>Бутлеровское</t>
  </si>
  <si>
    <t>92606420</t>
  </si>
  <si>
    <t>106</t>
  </si>
  <si>
    <t>Войкинское</t>
  </si>
  <si>
    <t>92606425</t>
  </si>
  <si>
    <t>107</t>
  </si>
  <si>
    <t>Ерыклинское</t>
  </si>
  <si>
    <t>92606435</t>
  </si>
  <si>
    <t>108</t>
  </si>
  <si>
    <t>Куркульское</t>
  </si>
  <si>
    <t>92606440</t>
  </si>
  <si>
    <t>109</t>
  </si>
  <si>
    <t>Курналинское</t>
  </si>
  <si>
    <t>92606442</t>
  </si>
  <si>
    <t>110</t>
  </si>
  <si>
    <t>Лебединское</t>
  </si>
  <si>
    <t>92606445</t>
  </si>
  <si>
    <t>111</t>
  </si>
  <si>
    <t>Лебяжинское</t>
  </si>
  <si>
    <t>92606450</t>
  </si>
  <si>
    <t>112</t>
  </si>
  <si>
    <t>Левашевское</t>
  </si>
  <si>
    <t>92606455</t>
  </si>
  <si>
    <t>113</t>
  </si>
  <si>
    <t>Майнское</t>
  </si>
  <si>
    <t>92606460</t>
  </si>
  <si>
    <t>114</t>
  </si>
  <si>
    <t>Подлесно-Шенталинское</t>
  </si>
  <si>
    <t>92606470</t>
  </si>
  <si>
    <t>115</t>
  </si>
  <si>
    <t>Родниковское</t>
  </si>
  <si>
    <t>92606475</t>
  </si>
  <si>
    <t>116</t>
  </si>
  <si>
    <t>Ромодановское</t>
  </si>
  <si>
    <t>92606476</t>
  </si>
  <si>
    <t>117</t>
  </si>
  <si>
    <t>Сахаровское</t>
  </si>
  <si>
    <t>92606478</t>
  </si>
  <si>
    <t>118</t>
  </si>
  <si>
    <t>Среднетиганское</t>
  </si>
  <si>
    <t>92606480</t>
  </si>
  <si>
    <t>119</t>
  </si>
  <si>
    <t>Степношенталинское</t>
  </si>
  <si>
    <t>92606490</t>
  </si>
  <si>
    <t>120</t>
  </si>
  <si>
    <t>Ялкынское</t>
  </si>
  <si>
    <t>92606495</t>
  </si>
  <si>
    <t>121</t>
  </si>
  <si>
    <t>поселок городского типа Алексеевское</t>
  </si>
  <si>
    <t>92606151</t>
  </si>
  <si>
    <t>122</t>
  </si>
  <si>
    <t>Алькеевский муниципальный район</t>
  </si>
  <si>
    <t>92607000</t>
  </si>
  <si>
    <t>123</t>
  </si>
  <si>
    <t>Аппаковское</t>
  </si>
  <si>
    <t>92607404</t>
  </si>
  <si>
    <t>124</t>
  </si>
  <si>
    <t>Базарно-Матакское</t>
  </si>
  <si>
    <t>92607408</t>
  </si>
  <si>
    <t>125</t>
  </si>
  <si>
    <t>Борискинское</t>
  </si>
  <si>
    <t>92607412</t>
  </si>
  <si>
    <t>126</t>
  </si>
  <si>
    <t>Верхнеколчуринское</t>
  </si>
  <si>
    <t>92607416</t>
  </si>
  <si>
    <t>127</t>
  </si>
  <si>
    <t>Каргопольское</t>
  </si>
  <si>
    <t>92607420</t>
  </si>
  <si>
    <t>128</t>
  </si>
  <si>
    <t>Кошкинское</t>
  </si>
  <si>
    <t>92607424</t>
  </si>
  <si>
    <t>129</t>
  </si>
  <si>
    <t>Нижнеалькеевское</t>
  </si>
  <si>
    <t>92607428</t>
  </si>
  <si>
    <t>130</t>
  </si>
  <si>
    <t>Нижнекачеевское</t>
  </si>
  <si>
    <t>92607432</t>
  </si>
  <si>
    <t>131</t>
  </si>
  <si>
    <t>Новоургагарское</t>
  </si>
  <si>
    <t>92607440</t>
  </si>
  <si>
    <t>132</t>
  </si>
  <si>
    <t>Салманское</t>
  </si>
  <si>
    <t>92607444</t>
  </si>
  <si>
    <t>133</t>
  </si>
  <si>
    <t>Староалпаровское</t>
  </si>
  <si>
    <t>92607448</t>
  </si>
  <si>
    <t>134</t>
  </si>
  <si>
    <t>Старокамкинское</t>
  </si>
  <si>
    <t>92607452</t>
  </si>
  <si>
    <t>135</t>
  </si>
  <si>
    <t>Староматакское</t>
  </si>
  <si>
    <t>92607456</t>
  </si>
  <si>
    <t>136</t>
  </si>
  <si>
    <t>Старосалмановское</t>
  </si>
  <si>
    <t>92607460</t>
  </si>
  <si>
    <t>137</t>
  </si>
  <si>
    <t>Старохурадинское</t>
  </si>
  <si>
    <t>92607464</t>
  </si>
  <si>
    <t>138</t>
  </si>
  <si>
    <t>Старочелнинское</t>
  </si>
  <si>
    <t>92607468</t>
  </si>
  <si>
    <t>139</t>
  </si>
  <si>
    <t>Тяжбердинское</t>
  </si>
  <si>
    <t>92607470</t>
  </si>
  <si>
    <t>140</t>
  </si>
  <si>
    <t>Чувашско-Бродское</t>
  </si>
  <si>
    <t>92607472</t>
  </si>
  <si>
    <t>141</t>
  </si>
  <si>
    <t>Чувашско-Бурнаевское</t>
  </si>
  <si>
    <t>92607476</t>
  </si>
  <si>
    <t>142</t>
  </si>
  <si>
    <t>Шибашинское</t>
  </si>
  <si>
    <t>92607484</t>
  </si>
  <si>
    <t>143</t>
  </si>
  <si>
    <t>Юхмачинское</t>
  </si>
  <si>
    <t>92607488</t>
  </si>
  <si>
    <t>144</t>
  </si>
  <si>
    <t>Альметьевский муниципальный район</t>
  </si>
  <si>
    <t>92608000</t>
  </si>
  <si>
    <t>Абдрахмановское</t>
  </si>
  <si>
    <t>92608403</t>
  </si>
  <si>
    <t>145</t>
  </si>
  <si>
    <t>146</t>
  </si>
  <si>
    <t>Альметьевское</t>
  </si>
  <si>
    <t>92608404</t>
  </si>
  <si>
    <t>147</t>
  </si>
  <si>
    <t>92608424</t>
  </si>
  <si>
    <t>148</t>
  </si>
  <si>
    <t>Багряж-Никольское</t>
  </si>
  <si>
    <t>92608406</t>
  </si>
  <si>
    <t>149</t>
  </si>
  <si>
    <t>Бишмунчинское</t>
  </si>
  <si>
    <t>92608409</t>
  </si>
  <si>
    <t>150</t>
  </si>
  <si>
    <t>92608412</t>
  </si>
  <si>
    <t>151</t>
  </si>
  <si>
    <t>Бутинское</t>
  </si>
  <si>
    <t>92608413</t>
  </si>
  <si>
    <t>152</t>
  </si>
  <si>
    <t>Васильевское</t>
  </si>
  <si>
    <t>92608416</t>
  </si>
  <si>
    <t>153</t>
  </si>
  <si>
    <t>Верхнеакташское</t>
  </si>
  <si>
    <t>92608418</t>
  </si>
  <si>
    <t>154</t>
  </si>
  <si>
    <t>Верхнемактаминское</t>
  </si>
  <si>
    <t>92608419</t>
  </si>
  <si>
    <t>155</t>
  </si>
  <si>
    <t>Город Альметьевск</t>
  </si>
  <si>
    <t>92608101</t>
  </si>
  <si>
    <t>156</t>
  </si>
  <si>
    <t>Елховское</t>
  </si>
  <si>
    <t>92608421</t>
  </si>
  <si>
    <t>157</t>
  </si>
  <si>
    <t>Ерсубайкинское</t>
  </si>
  <si>
    <t>92608422</t>
  </si>
  <si>
    <t>158</t>
  </si>
  <si>
    <t>Калейкинское</t>
  </si>
  <si>
    <t>92608427</t>
  </si>
  <si>
    <t>159</t>
  </si>
  <si>
    <t>Кама-Исмагиловское</t>
  </si>
  <si>
    <t>92608428</t>
  </si>
  <si>
    <t>160</t>
  </si>
  <si>
    <t>Кичуйское</t>
  </si>
  <si>
    <t>92608433</t>
  </si>
  <si>
    <t>161</t>
  </si>
  <si>
    <t>Кичучатовское</t>
  </si>
  <si>
    <t>92608434</t>
  </si>
  <si>
    <t>162</t>
  </si>
  <si>
    <t>Клементейкинское</t>
  </si>
  <si>
    <t>92608436</t>
  </si>
  <si>
    <t>163</t>
  </si>
  <si>
    <t>Кузайкинское</t>
  </si>
  <si>
    <t>92608439</t>
  </si>
  <si>
    <t>164</t>
  </si>
  <si>
    <t>Кульшариповское</t>
  </si>
  <si>
    <t>92608440</t>
  </si>
  <si>
    <t>165</t>
  </si>
  <si>
    <t>Лесно-Калейкинское</t>
  </si>
  <si>
    <t>92608441</t>
  </si>
  <si>
    <t>166</t>
  </si>
  <si>
    <t>Маметьевское</t>
  </si>
  <si>
    <t>92608442</t>
  </si>
  <si>
    <t>167</t>
  </si>
  <si>
    <t>Миннибаевское</t>
  </si>
  <si>
    <t>92608445</t>
  </si>
  <si>
    <t>168</t>
  </si>
  <si>
    <t>Нижнеабдулловское</t>
  </si>
  <si>
    <t>92608447</t>
  </si>
  <si>
    <t>169</t>
  </si>
  <si>
    <t>Новокашировское</t>
  </si>
  <si>
    <t>92608448</t>
  </si>
  <si>
    <t>170</t>
  </si>
  <si>
    <t>Новонадыровское</t>
  </si>
  <si>
    <t>92608451</t>
  </si>
  <si>
    <t>171</t>
  </si>
  <si>
    <t>Новоникольское</t>
  </si>
  <si>
    <t>92608454</t>
  </si>
  <si>
    <t>172</t>
  </si>
  <si>
    <t>Новотроицкое</t>
  </si>
  <si>
    <t>92608457</t>
  </si>
  <si>
    <t>173</t>
  </si>
  <si>
    <t>Русско-Акташское</t>
  </si>
  <si>
    <t>92608459</t>
  </si>
  <si>
    <t>174</t>
  </si>
  <si>
    <t>Сиренькинское</t>
  </si>
  <si>
    <t>92608430</t>
  </si>
  <si>
    <t>175</t>
  </si>
  <si>
    <t>Старомихайловское</t>
  </si>
  <si>
    <t>92608460</t>
  </si>
  <si>
    <t>176</t>
  </si>
  <si>
    <t>Старосуркинское</t>
  </si>
  <si>
    <t>92608415</t>
  </si>
  <si>
    <t>177</t>
  </si>
  <si>
    <t>Сулеевское</t>
  </si>
  <si>
    <t>92608463</t>
  </si>
  <si>
    <t>178</t>
  </si>
  <si>
    <t>Тайсугановское</t>
  </si>
  <si>
    <t>92608464</t>
  </si>
  <si>
    <t>179</t>
  </si>
  <si>
    <t>Ямашинское</t>
  </si>
  <si>
    <t>92608469</t>
  </si>
  <si>
    <t>180</t>
  </si>
  <si>
    <t>Ямашское</t>
  </si>
  <si>
    <t>92608472</t>
  </si>
  <si>
    <t>181</t>
  </si>
  <si>
    <t>поселок городского типа Нижняя Мактама</t>
  </si>
  <si>
    <t>92608105</t>
  </si>
  <si>
    <t>182</t>
  </si>
  <si>
    <t>Апастовский муниципальный район</t>
  </si>
  <si>
    <t>92610000</t>
  </si>
  <si>
    <t>Альмендеровское</t>
  </si>
  <si>
    <t>92610403</t>
  </si>
  <si>
    <t>183</t>
  </si>
  <si>
    <t>184</t>
  </si>
  <si>
    <t>Бакрчинское</t>
  </si>
  <si>
    <t>92610410</t>
  </si>
  <si>
    <t>185</t>
  </si>
  <si>
    <t>Бишевское</t>
  </si>
  <si>
    <t>92610412</t>
  </si>
  <si>
    <t>186</t>
  </si>
  <si>
    <t>Большеболгоярское</t>
  </si>
  <si>
    <t>92610415</t>
  </si>
  <si>
    <t>187</t>
  </si>
  <si>
    <t>Большекокузское</t>
  </si>
  <si>
    <t>92610417</t>
  </si>
  <si>
    <t>188</t>
  </si>
  <si>
    <t>Булым-Булыхчинское</t>
  </si>
  <si>
    <t>92610425</t>
  </si>
  <si>
    <t>189</t>
  </si>
  <si>
    <t>Верхнеаткозинское</t>
  </si>
  <si>
    <t>92610430</t>
  </si>
  <si>
    <t>190</t>
  </si>
  <si>
    <t>Верхнеиндырчинское</t>
  </si>
  <si>
    <t>92610433</t>
  </si>
  <si>
    <t>191</t>
  </si>
  <si>
    <t>Деушевское</t>
  </si>
  <si>
    <t>92610436</t>
  </si>
  <si>
    <t>192</t>
  </si>
  <si>
    <t>Ишеевское</t>
  </si>
  <si>
    <t>92610439</t>
  </si>
  <si>
    <t>193</t>
  </si>
  <si>
    <t>Каратунское</t>
  </si>
  <si>
    <t>92610444</t>
  </si>
  <si>
    <t>194</t>
  </si>
  <si>
    <t>Кзыл-Тауское</t>
  </si>
  <si>
    <t>92610442</t>
  </si>
  <si>
    <t>195</t>
  </si>
  <si>
    <t>Куштовское</t>
  </si>
  <si>
    <t>92610448</t>
  </si>
  <si>
    <t>196</t>
  </si>
  <si>
    <t>Сатламышевское</t>
  </si>
  <si>
    <t>92610456</t>
  </si>
  <si>
    <t>197</t>
  </si>
  <si>
    <t>Среднебалтаевское</t>
  </si>
  <si>
    <t>92610459</t>
  </si>
  <si>
    <t>198</t>
  </si>
  <si>
    <t>Староюмралинское</t>
  </si>
  <si>
    <t>92610462</t>
  </si>
  <si>
    <t>199</t>
  </si>
  <si>
    <t>Табар-Черкийское</t>
  </si>
  <si>
    <t>92610453</t>
  </si>
  <si>
    <t>200</t>
  </si>
  <si>
    <t>Тутаевское</t>
  </si>
  <si>
    <t>92610455</t>
  </si>
  <si>
    <t>201</t>
  </si>
  <si>
    <t>Черемшанское</t>
  </si>
  <si>
    <t>92610474</t>
  </si>
  <si>
    <t>202</t>
  </si>
  <si>
    <t>Чуру-Барышевское</t>
  </si>
  <si>
    <t>92610477</t>
  </si>
  <si>
    <t>203</t>
  </si>
  <si>
    <t>Шамбулыхчинское</t>
  </si>
  <si>
    <t>92610483</t>
  </si>
  <si>
    <t>204</t>
  </si>
  <si>
    <t>поселок городского типа Апастово</t>
  </si>
  <si>
    <t>92610151</t>
  </si>
  <si>
    <t>205</t>
  </si>
  <si>
    <t>Арский муниципальный район</t>
  </si>
  <si>
    <t>92612000</t>
  </si>
  <si>
    <t>Апазовское</t>
  </si>
  <si>
    <t>92612403</t>
  </si>
  <si>
    <t>206</t>
  </si>
  <si>
    <t>207</t>
  </si>
  <si>
    <t>Город Арск</t>
  </si>
  <si>
    <t>92612151</t>
  </si>
  <si>
    <t>208</t>
  </si>
  <si>
    <t>Качелинское</t>
  </si>
  <si>
    <t>92612422</t>
  </si>
  <si>
    <t>209</t>
  </si>
  <si>
    <t>Наласинское</t>
  </si>
  <si>
    <t>92612442</t>
  </si>
  <si>
    <t>210</t>
  </si>
  <si>
    <t>Новокинерское</t>
  </si>
  <si>
    <t>92612450</t>
  </si>
  <si>
    <t>211</t>
  </si>
  <si>
    <t>Новокишитское</t>
  </si>
  <si>
    <t>92612452</t>
  </si>
  <si>
    <t>212</t>
  </si>
  <si>
    <t>Новокырлайское</t>
  </si>
  <si>
    <t>92612454</t>
  </si>
  <si>
    <t>213</t>
  </si>
  <si>
    <t>Сизинское</t>
  </si>
  <si>
    <t>92612462</t>
  </si>
  <si>
    <t>214</t>
  </si>
  <si>
    <t>Среднеатынское</t>
  </si>
  <si>
    <t>92612465</t>
  </si>
  <si>
    <t>215</t>
  </si>
  <si>
    <t>Среднекорсинское</t>
  </si>
  <si>
    <t>92612415</t>
  </si>
  <si>
    <t>216</t>
  </si>
  <si>
    <t>Старокырлайское</t>
  </si>
  <si>
    <t>92612439</t>
  </si>
  <si>
    <t>217</t>
  </si>
  <si>
    <t>Старочурилинское</t>
  </si>
  <si>
    <t>92612474</t>
  </si>
  <si>
    <t>218</t>
  </si>
  <si>
    <t>Ташкичинское</t>
  </si>
  <si>
    <t>92612480</t>
  </si>
  <si>
    <t>219</t>
  </si>
  <si>
    <t>Урнякское</t>
  </si>
  <si>
    <t>92612406</t>
  </si>
  <si>
    <t>220</t>
  </si>
  <si>
    <t>Утар-Атынское</t>
  </si>
  <si>
    <t>92612486</t>
  </si>
  <si>
    <t>221</t>
  </si>
  <si>
    <t>Шушмабашское</t>
  </si>
  <si>
    <t>92612496</t>
  </si>
  <si>
    <t>222</t>
  </si>
  <si>
    <t>Янга-Салское</t>
  </si>
  <si>
    <t>92612498</t>
  </si>
  <si>
    <t>223</t>
  </si>
  <si>
    <t>Атнинский муниципальный район</t>
  </si>
  <si>
    <t>92613000</t>
  </si>
  <si>
    <t>224</t>
  </si>
  <si>
    <t>Большеатнинское</t>
  </si>
  <si>
    <t>92613408</t>
  </si>
  <si>
    <t>225</t>
  </si>
  <si>
    <t>Большеменгерское</t>
  </si>
  <si>
    <t>92613410</t>
  </si>
  <si>
    <t>226</t>
  </si>
  <si>
    <t>Верхнесердинское</t>
  </si>
  <si>
    <t>92613415</t>
  </si>
  <si>
    <t>227</t>
  </si>
  <si>
    <t>Коморгузинское</t>
  </si>
  <si>
    <t>92613425</t>
  </si>
  <si>
    <t>228</t>
  </si>
  <si>
    <t>Кубянское</t>
  </si>
  <si>
    <t>92613430</t>
  </si>
  <si>
    <t>229</t>
  </si>
  <si>
    <t>Кулле-Киминское</t>
  </si>
  <si>
    <t>92613434</t>
  </si>
  <si>
    <t>230</t>
  </si>
  <si>
    <t>Кунгерское</t>
  </si>
  <si>
    <t>92613437</t>
  </si>
  <si>
    <t>231</t>
  </si>
  <si>
    <t>Кшкловское</t>
  </si>
  <si>
    <t>92613440</t>
  </si>
  <si>
    <t>232</t>
  </si>
  <si>
    <t>Нижнеберескинское</t>
  </si>
  <si>
    <t>92613445</t>
  </si>
  <si>
    <t>233</t>
  </si>
  <si>
    <t>Нижнекуюкское</t>
  </si>
  <si>
    <t>92613447</t>
  </si>
  <si>
    <t>234</t>
  </si>
  <si>
    <t>Новошашинское</t>
  </si>
  <si>
    <t>92613457</t>
  </si>
  <si>
    <t>235</t>
  </si>
  <si>
    <t>Узюмское</t>
  </si>
  <si>
    <t>92613470</t>
  </si>
  <si>
    <t>236</t>
  </si>
  <si>
    <t>Бавлинский муниципальный район</t>
  </si>
  <si>
    <t>92614000</t>
  </si>
  <si>
    <t>Александровское</t>
  </si>
  <si>
    <t>92614404</t>
  </si>
  <si>
    <t>237</t>
  </si>
  <si>
    <t>238</t>
  </si>
  <si>
    <t>Город Бавлы</t>
  </si>
  <si>
    <t>92614101</t>
  </si>
  <si>
    <t>239</t>
  </si>
  <si>
    <t>Исергаповское</t>
  </si>
  <si>
    <t>92614424</t>
  </si>
  <si>
    <t>240</t>
  </si>
  <si>
    <t>Кзыл-Ярское</t>
  </si>
  <si>
    <t>92614432</t>
  </si>
  <si>
    <t>241</t>
  </si>
  <si>
    <t>Крым-Сарайское</t>
  </si>
  <si>
    <t>92614436</t>
  </si>
  <si>
    <t>242</t>
  </si>
  <si>
    <t>Новозареченское</t>
  </si>
  <si>
    <t>92614416</t>
  </si>
  <si>
    <t>243</t>
  </si>
  <si>
    <t>Покровско-Урустамакское</t>
  </si>
  <si>
    <t>92614440</t>
  </si>
  <si>
    <t>244</t>
  </si>
  <si>
    <t>Поповское</t>
  </si>
  <si>
    <t>92614444</t>
  </si>
  <si>
    <t>245</t>
  </si>
  <si>
    <t>Потапово-Тумбарлинское</t>
  </si>
  <si>
    <t>92614448</t>
  </si>
  <si>
    <t>246</t>
  </si>
  <si>
    <t>Салиховское</t>
  </si>
  <si>
    <t>92614452</t>
  </si>
  <si>
    <t>247</t>
  </si>
  <si>
    <t>Татарско-Кандызское</t>
  </si>
  <si>
    <t>92614460</t>
  </si>
  <si>
    <t>248</t>
  </si>
  <si>
    <t>Тумбарлинское</t>
  </si>
  <si>
    <t>92614468</t>
  </si>
  <si>
    <t>249</t>
  </si>
  <si>
    <t>Удмуртско-Ташлинское</t>
  </si>
  <si>
    <t>92614472</t>
  </si>
  <si>
    <t>250</t>
  </si>
  <si>
    <t>Шалтинское</t>
  </si>
  <si>
    <t>92614480</t>
  </si>
  <si>
    <t>251</t>
  </si>
  <si>
    <t>Балтасинский муниципальный район</t>
  </si>
  <si>
    <t>92615000</t>
  </si>
  <si>
    <t>252</t>
  </si>
  <si>
    <t>Бурбашское</t>
  </si>
  <si>
    <t>92615407</t>
  </si>
  <si>
    <t>253</t>
  </si>
  <si>
    <t>Бурнакское</t>
  </si>
  <si>
    <t>92615408</t>
  </si>
  <si>
    <t>254</t>
  </si>
  <si>
    <t>Верхнесубашское</t>
  </si>
  <si>
    <t>92615415</t>
  </si>
  <si>
    <t>255</t>
  </si>
  <si>
    <t>Карадуванское</t>
  </si>
  <si>
    <t>92615425</t>
  </si>
  <si>
    <t>256</t>
  </si>
  <si>
    <t>Кугунурское</t>
  </si>
  <si>
    <t>92615420</t>
  </si>
  <si>
    <t>257</t>
  </si>
  <si>
    <t>Малолызинское</t>
  </si>
  <si>
    <t>92615428</t>
  </si>
  <si>
    <t>258</t>
  </si>
  <si>
    <t>Норминское</t>
  </si>
  <si>
    <t>92615430</t>
  </si>
  <si>
    <t>259</t>
  </si>
  <si>
    <t>Нуринерское</t>
  </si>
  <si>
    <t>92615435</t>
  </si>
  <si>
    <t>260</t>
  </si>
  <si>
    <t>Пижмарское</t>
  </si>
  <si>
    <t>92615440</t>
  </si>
  <si>
    <t>261</t>
  </si>
  <si>
    <t>Салаусское</t>
  </si>
  <si>
    <t>92615445</t>
  </si>
  <si>
    <t>262</t>
  </si>
  <si>
    <t>Смаильское</t>
  </si>
  <si>
    <t>92615410</t>
  </si>
  <si>
    <t>263</t>
  </si>
  <si>
    <t>Сосновское</t>
  </si>
  <si>
    <t>92615450</t>
  </si>
  <si>
    <t>264</t>
  </si>
  <si>
    <t>Среднекушкетское</t>
  </si>
  <si>
    <t>92615455</t>
  </si>
  <si>
    <t>265</t>
  </si>
  <si>
    <t>Ципьинское</t>
  </si>
  <si>
    <t>92615465</t>
  </si>
  <si>
    <t>266</t>
  </si>
  <si>
    <t>Шишинерское</t>
  </si>
  <si>
    <t>92615460</t>
  </si>
  <si>
    <t>267</t>
  </si>
  <si>
    <t>Шубанское</t>
  </si>
  <si>
    <t>92615470</t>
  </si>
  <si>
    <t>268</t>
  </si>
  <si>
    <t>Янгуловское</t>
  </si>
  <si>
    <t>92615475</t>
  </si>
  <si>
    <t>269</t>
  </si>
  <si>
    <t>поселок городского типа Балтаси</t>
  </si>
  <si>
    <t>92615151</t>
  </si>
  <si>
    <t>270</t>
  </si>
  <si>
    <t>Бугульминский муниципальный район</t>
  </si>
  <si>
    <t>92617000</t>
  </si>
  <si>
    <t>Акбашское</t>
  </si>
  <si>
    <t>92617405</t>
  </si>
  <si>
    <t>271</t>
  </si>
  <si>
    <t>Березовское</t>
  </si>
  <si>
    <t>92617460</t>
  </si>
  <si>
    <t>272</t>
  </si>
  <si>
    <t>Большефедоровское</t>
  </si>
  <si>
    <t>92617410</t>
  </si>
  <si>
    <t>273</t>
  </si>
  <si>
    <t>274</t>
  </si>
  <si>
    <t>Восточное</t>
  </si>
  <si>
    <t>92617412</t>
  </si>
  <si>
    <t>275</t>
  </si>
  <si>
    <t>Вязовское</t>
  </si>
  <si>
    <t>92617425</t>
  </si>
  <si>
    <t>276</t>
  </si>
  <si>
    <t>Город Бугульма</t>
  </si>
  <si>
    <t>92617101</t>
  </si>
  <si>
    <t>277</t>
  </si>
  <si>
    <t>Зеленорощинское</t>
  </si>
  <si>
    <t>92617415</t>
  </si>
  <si>
    <t>278</t>
  </si>
  <si>
    <t>Ключевское</t>
  </si>
  <si>
    <t>92617420</t>
  </si>
  <si>
    <t>279</t>
  </si>
  <si>
    <t>92617430</t>
  </si>
  <si>
    <t>280</t>
  </si>
  <si>
    <t>Малобугульминское</t>
  </si>
  <si>
    <t>92617435</t>
  </si>
  <si>
    <t>281</t>
  </si>
  <si>
    <t>Наратлинское</t>
  </si>
  <si>
    <t>92617440</t>
  </si>
  <si>
    <t>282</t>
  </si>
  <si>
    <t>Новоалександровское</t>
  </si>
  <si>
    <t>92617445</t>
  </si>
  <si>
    <t>283</t>
  </si>
  <si>
    <t>Новосумароковское</t>
  </si>
  <si>
    <t>92617450</t>
  </si>
  <si>
    <t>284</t>
  </si>
  <si>
    <t>Петровское</t>
  </si>
  <si>
    <t>92617452</t>
  </si>
  <si>
    <t>285</t>
  </si>
  <si>
    <t>Подгорненское</t>
  </si>
  <si>
    <t>92617455</t>
  </si>
  <si>
    <t>286</t>
  </si>
  <si>
    <t>Спасское</t>
  </si>
  <si>
    <t>92617465</t>
  </si>
  <si>
    <t>287</t>
  </si>
  <si>
    <t>Староисаковское</t>
  </si>
  <si>
    <t>92617470</t>
  </si>
  <si>
    <t>288</t>
  </si>
  <si>
    <t>Татарско-Дымское</t>
  </si>
  <si>
    <t>92617475</t>
  </si>
  <si>
    <t>289</t>
  </si>
  <si>
    <t>поселок городского типа Карабаш</t>
  </si>
  <si>
    <t>92617155</t>
  </si>
  <si>
    <t>290</t>
  </si>
  <si>
    <t>Буинский муниципальный район</t>
  </si>
  <si>
    <t>92618000</t>
  </si>
  <si>
    <t>Адав-Тулумбаевское</t>
  </si>
  <si>
    <t>92618404</t>
  </si>
  <si>
    <t>291</t>
  </si>
  <si>
    <t>Аксунское</t>
  </si>
  <si>
    <t>92618407</t>
  </si>
  <si>
    <t>292</t>
  </si>
  <si>
    <t>Альшеевское</t>
  </si>
  <si>
    <t>92618408</t>
  </si>
  <si>
    <t>293</t>
  </si>
  <si>
    <t>Альшиховское</t>
  </si>
  <si>
    <t>92618411</t>
  </si>
  <si>
    <t>294</t>
  </si>
  <si>
    <t>Бик-Утеевское</t>
  </si>
  <si>
    <t>92618415</t>
  </si>
  <si>
    <t>295</t>
  </si>
  <si>
    <t>Большефроловское</t>
  </si>
  <si>
    <t>92618419</t>
  </si>
  <si>
    <t>296</t>
  </si>
  <si>
    <t>297</t>
  </si>
  <si>
    <t>Бюрганское</t>
  </si>
  <si>
    <t>92618423</t>
  </si>
  <si>
    <t>298</t>
  </si>
  <si>
    <t>Верхнелащинское</t>
  </si>
  <si>
    <t>92618427</t>
  </si>
  <si>
    <t>299</t>
  </si>
  <si>
    <t>Город Буинск</t>
  </si>
  <si>
    <t>92618101</t>
  </si>
  <si>
    <t>300</t>
  </si>
  <si>
    <t>Исаковское</t>
  </si>
  <si>
    <t>92618431</t>
  </si>
  <si>
    <t>301</t>
  </si>
  <si>
    <t>Кайбицкое</t>
  </si>
  <si>
    <t>92618435</t>
  </si>
  <si>
    <t>302</t>
  </si>
  <si>
    <t>Киятское</t>
  </si>
  <si>
    <t>92618439</t>
  </si>
  <si>
    <t>303</t>
  </si>
  <si>
    <t>Кошки-Теняковское</t>
  </si>
  <si>
    <t>92618438</t>
  </si>
  <si>
    <t>304</t>
  </si>
  <si>
    <t>Кошки-Шемякинское</t>
  </si>
  <si>
    <t>92618440</t>
  </si>
  <si>
    <t>305</t>
  </si>
  <si>
    <t>Малобуинковское</t>
  </si>
  <si>
    <t>92618441</t>
  </si>
  <si>
    <t>306</t>
  </si>
  <si>
    <t>Мещеряковское</t>
  </si>
  <si>
    <t>92618442</t>
  </si>
  <si>
    <t>307</t>
  </si>
  <si>
    <t>Мокросавалеевское</t>
  </si>
  <si>
    <t>92618443</t>
  </si>
  <si>
    <t>308</t>
  </si>
  <si>
    <t>Нижненаратбашское</t>
  </si>
  <si>
    <t>92618447</t>
  </si>
  <si>
    <t>309</t>
  </si>
  <si>
    <t>Новотинчалинское</t>
  </si>
  <si>
    <t>92618451</t>
  </si>
  <si>
    <t>310</t>
  </si>
  <si>
    <t>Новочечкабское</t>
  </si>
  <si>
    <t>92618454</t>
  </si>
  <si>
    <t>311</t>
  </si>
  <si>
    <t>Нурлатское</t>
  </si>
  <si>
    <t>92618455</t>
  </si>
  <si>
    <t>312</t>
  </si>
  <si>
    <t>Рунгинское</t>
  </si>
  <si>
    <t>92618458</t>
  </si>
  <si>
    <t>313</t>
  </si>
  <si>
    <t>Сорок-Сайдакское</t>
  </si>
  <si>
    <t>92618462</t>
  </si>
  <si>
    <t>314</t>
  </si>
  <si>
    <t>Старостуденецкое</t>
  </si>
  <si>
    <t>92618469</t>
  </si>
  <si>
    <t>315</t>
  </si>
  <si>
    <t>Старотинчалинское</t>
  </si>
  <si>
    <t>92618472</t>
  </si>
  <si>
    <t>316</t>
  </si>
  <si>
    <t>Тимбаевское</t>
  </si>
  <si>
    <t>92618476</t>
  </si>
  <si>
    <t>317</t>
  </si>
  <si>
    <t>Черки-Гришинское</t>
  </si>
  <si>
    <t>92618480</t>
  </si>
  <si>
    <t>318</t>
  </si>
  <si>
    <t>Черки-Кильдуразское</t>
  </si>
  <si>
    <t>92618483</t>
  </si>
  <si>
    <t>319</t>
  </si>
  <si>
    <t>Чувашско-Кищаковское</t>
  </si>
  <si>
    <t>92618487</t>
  </si>
  <si>
    <t>320</t>
  </si>
  <si>
    <t>Энтуганское</t>
  </si>
  <si>
    <t>92618491</t>
  </si>
  <si>
    <t>321</t>
  </si>
  <si>
    <t>Яшевское</t>
  </si>
  <si>
    <t>92618495</t>
  </si>
  <si>
    <t>322</t>
  </si>
  <si>
    <t>Верхнеуслонский муниципальный район</t>
  </si>
  <si>
    <t>92620000</t>
  </si>
  <si>
    <t>Большемеминское</t>
  </si>
  <si>
    <t>92620403</t>
  </si>
  <si>
    <t>323</t>
  </si>
  <si>
    <t>Бурнашевское</t>
  </si>
  <si>
    <t>92620405</t>
  </si>
  <si>
    <t>324</t>
  </si>
  <si>
    <t>92620408</t>
  </si>
  <si>
    <t>325</t>
  </si>
  <si>
    <t>Введенско-Слободское</t>
  </si>
  <si>
    <t>92620410</t>
  </si>
  <si>
    <t>326</t>
  </si>
  <si>
    <t>327</t>
  </si>
  <si>
    <t>Верхнеуслонское</t>
  </si>
  <si>
    <t>92620415</t>
  </si>
  <si>
    <t>328</t>
  </si>
  <si>
    <t>Канашское</t>
  </si>
  <si>
    <t>92620420</t>
  </si>
  <si>
    <t>329</t>
  </si>
  <si>
    <t>Кильдеевское</t>
  </si>
  <si>
    <t>92620425</t>
  </si>
  <si>
    <t>330</t>
  </si>
  <si>
    <t>Коргузинское</t>
  </si>
  <si>
    <t>92620435</t>
  </si>
  <si>
    <t>331</t>
  </si>
  <si>
    <t>Кураловское</t>
  </si>
  <si>
    <t>92620440</t>
  </si>
  <si>
    <t>332</t>
  </si>
  <si>
    <t>Майданское</t>
  </si>
  <si>
    <t>92620445</t>
  </si>
  <si>
    <t>333</t>
  </si>
  <si>
    <t>Макуловское</t>
  </si>
  <si>
    <t>92620450</t>
  </si>
  <si>
    <t>334</t>
  </si>
  <si>
    <t>Набережно-Морквашское</t>
  </si>
  <si>
    <t>92620460</t>
  </si>
  <si>
    <t>335</t>
  </si>
  <si>
    <t>Нижнеуслонское</t>
  </si>
  <si>
    <t>92620465</t>
  </si>
  <si>
    <t>336</t>
  </si>
  <si>
    <t>Новорусско-Маматкозинское</t>
  </si>
  <si>
    <t>92620470</t>
  </si>
  <si>
    <t>337</t>
  </si>
  <si>
    <t>Октябрьское</t>
  </si>
  <si>
    <t>92620472</t>
  </si>
  <si>
    <t>338</t>
  </si>
  <si>
    <t>Печищинское</t>
  </si>
  <si>
    <t>92620473</t>
  </si>
  <si>
    <t>339</t>
  </si>
  <si>
    <t>Соболевское</t>
  </si>
  <si>
    <t>92620474</t>
  </si>
  <si>
    <t>340</t>
  </si>
  <si>
    <t>Шеланговское</t>
  </si>
  <si>
    <t>92620475</t>
  </si>
  <si>
    <t>341</t>
  </si>
  <si>
    <t>Ямбулатовское</t>
  </si>
  <si>
    <t>92620478</t>
  </si>
  <si>
    <t>342</t>
  </si>
  <si>
    <t>город Иннополис</t>
  </si>
  <si>
    <t>92620109</t>
  </si>
  <si>
    <t>343</t>
  </si>
  <si>
    <t>Высокогорский муниципальный район</t>
  </si>
  <si>
    <t>92622000</t>
  </si>
  <si>
    <t>Айбашское</t>
  </si>
  <si>
    <t>92622403</t>
  </si>
  <si>
    <t>344</t>
  </si>
  <si>
    <t>Алан-Бексерское</t>
  </si>
  <si>
    <t>92622406</t>
  </si>
  <si>
    <t>345</t>
  </si>
  <si>
    <t>Альдермышское</t>
  </si>
  <si>
    <t>92622409</t>
  </si>
  <si>
    <t>346</t>
  </si>
  <si>
    <t>Березкинское</t>
  </si>
  <si>
    <t>92622411</t>
  </si>
  <si>
    <t>347</t>
  </si>
  <si>
    <t>Бирюлинское</t>
  </si>
  <si>
    <t>92622412</t>
  </si>
  <si>
    <t>348</t>
  </si>
  <si>
    <t>Большебитаманское</t>
  </si>
  <si>
    <t>92622415</t>
  </si>
  <si>
    <t>349</t>
  </si>
  <si>
    <t>Большековалинское</t>
  </si>
  <si>
    <t>92622421</t>
  </si>
  <si>
    <t>350</t>
  </si>
  <si>
    <t>351</t>
  </si>
  <si>
    <t>Высокогорское</t>
  </si>
  <si>
    <t>92622427</t>
  </si>
  <si>
    <t>352</t>
  </si>
  <si>
    <t>Дачное</t>
  </si>
  <si>
    <t>92622429</t>
  </si>
  <si>
    <t>353</t>
  </si>
  <si>
    <t>Дубъязское</t>
  </si>
  <si>
    <t>92622430</t>
  </si>
  <si>
    <t>354</t>
  </si>
  <si>
    <t>Иске-Казанское</t>
  </si>
  <si>
    <t>92622431</t>
  </si>
  <si>
    <t>355</t>
  </si>
  <si>
    <t>Казакларское</t>
  </si>
  <si>
    <t>92622434</t>
  </si>
  <si>
    <t>356</t>
  </si>
  <si>
    <t>Красносельское</t>
  </si>
  <si>
    <t>92622440</t>
  </si>
  <si>
    <t>357</t>
  </si>
  <si>
    <t>Куркачинское</t>
  </si>
  <si>
    <t>92622441</t>
  </si>
  <si>
    <t>358</t>
  </si>
  <si>
    <t>Мемдельское</t>
  </si>
  <si>
    <t>92622443</t>
  </si>
  <si>
    <t>359</t>
  </si>
  <si>
    <t>Мульминское</t>
  </si>
  <si>
    <t>92622446</t>
  </si>
  <si>
    <t>360</t>
  </si>
  <si>
    <t>Село-Алатское</t>
  </si>
  <si>
    <t>92622455</t>
  </si>
  <si>
    <t>361</t>
  </si>
  <si>
    <t>Семиозерское</t>
  </si>
  <si>
    <t>92622458</t>
  </si>
  <si>
    <t>362</t>
  </si>
  <si>
    <t>Суксинское</t>
  </si>
  <si>
    <t>92622462</t>
  </si>
  <si>
    <t>363</t>
  </si>
  <si>
    <t>Ташлы-Ковалинское</t>
  </si>
  <si>
    <t>92622464</t>
  </si>
  <si>
    <t>364</t>
  </si>
  <si>
    <t>Усадское</t>
  </si>
  <si>
    <t>92622467</t>
  </si>
  <si>
    <t>365</t>
  </si>
  <si>
    <t>Чепчуговское</t>
  </si>
  <si>
    <t>92622473</t>
  </si>
  <si>
    <t>366</t>
  </si>
  <si>
    <t>Чернышевское</t>
  </si>
  <si>
    <t>92622474</t>
  </si>
  <si>
    <t>367</t>
  </si>
  <si>
    <t>Шапшинское</t>
  </si>
  <si>
    <t>92622479</t>
  </si>
  <si>
    <t>368</t>
  </si>
  <si>
    <t>Ямашурминское</t>
  </si>
  <si>
    <t>92622485</t>
  </si>
  <si>
    <t>369</t>
  </si>
  <si>
    <t>Город Казань</t>
  </si>
  <si>
    <t>92701000</t>
  </si>
  <si>
    <t>городской округ</t>
  </si>
  <si>
    <t>370</t>
  </si>
  <si>
    <t>Город Набережные Челны</t>
  </si>
  <si>
    <t>92730000</t>
  </si>
  <si>
    <t>371</t>
  </si>
  <si>
    <t>Дрожжановский муниципальный район</t>
  </si>
  <si>
    <t>92624000</t>
  </si>
  <si>
    <t>Алешкин-Саплыкское</t>
  </si>
  <si>
    <t>92624405</t>
  </si>
  <si>
    <t>372</t>
  </si>
  <si>
    <t>Большеаксинское</t>
  </si>
  <si>
    <t>92624410</t>
  </si>
  <si>
    <t>373</t>
  </si>
  <si>
    <t>Большецильнинское</t>
  </si>
  <si>
    <t>92624415</t>
  </si>
  <si>
    <t>374</t>
  </si>
  <si>
    <t>Городищенское</t>
  </si>
  <si>
    <t>92624420</t>
  </si>
  <si>
    <t>375</t>
  </si>
  <si>
    <t>376</t>
  </si>
  <si>
    <t>Звездинское</t>
  </si>
  <si>
    <t>92624425</t>
  </si>
  <si>
    <t>377</t>
  </si>
  <si>
    <t>Малоцильнинское</t>
  </si>
  <si>
    <t>92624430</t>
  </si>
  <si>
    <t>378</t>
  </si>
  <si>
    <t>Марсовское</t>
  </si>
  <si>
    <t>92624435</t>
  </si>
  <si>
    <t>379</t>
  </si>
  <si>
    <t>Матакское</t>
  </si>
  <si>
    <t>92624440</t>
  </si>
  <si>
    <t>380</t>
  </si>
  <si>
    <t>Нижнечекурское</t>
  </si>
  <si>
    <t>92624445</t>
  </si>
  <si>
    <t>381</t>
  </si>
  <si>
    <t>Новобурундуковское</t>
  </si>
  <si>
    <t>92624450</t>
  </si>
  <si>
    <t>382</t>
  </si>
  <si>
    <t>Новоильмовское</t>
  </si>
  <si>
    <t>92624455</t>
  </si>
  <si>
    <t>383</t>
  </si>
  <si>
    <t>Новоишлинское</t>
  </si>
  <si>
    <t>92624460</t>
  </si>
  <si>
    <t>384</t>
  </si>
  <si>
    <t>Село-Убейское</t>
  </si>
  <si>
    <t>92624465</t>
  </si>
  <si>
    <t>385</t>
  </si>
  <si>
    <t>Стародрожжановское</t>
  </si>
  <si>
    <t>92624470</t>
  </si>
  <si>
    <t>386</t>
  </si>
  <si>
    <t>Старокакерлинское</t>
  </si>
  <si>
    <t>92624475</t>
  </si>
  <si>
    <t>387</t>
  </si>
  <si>
    <t>Старочукалинское</t>
  </si>
  <si>
    <t>92624480</t>
  </si>
  <si>
    <t>388</t>
  </si>
  <si>
    <t>Старошаймурзинское</t>
  </si>
  <si>
    <t>92624485</t>
  </si>
  <si>
    <t>389</t>
  </si>
  <si>
    <t>Чувашско-Дрожжановское</t>
  </si>
  <si>
    <t>92624490</t>
  </si>
  <si>
    <t>390</t>
  </si>
  <si>
    <t>Шланговское</t>
  </si>
  <si>
    <t>92624495</t>
  </si>
  <si>
    <t>391</t>
  </si>
  <si>
    <t>Елабужский муниципальный район</t>
  </si>
  <si>
    <t>92626000</t>
  </si>
  <si>
    <t>92626401</t>
  </si>
  <si>
    <t>392</t>
  </si>
  <si>
    <t>Бехтеревское</t>
  </si>
  <si>
    <t>92626404</t>
  </si>
  <si>
    <t>393</t>
  </si>
  <si>
    <t>Большееловское</t>
  </si>
  <si>
    <t>92626412</t>
  </si>
  <si>
    <t>394</t>
  </si>
  <si>
    <t>Большекачкинское</t>
  </si>
  <si>
    <t>92626416</t>
  </si>
  <si>
    <t>395</t>
  </si>
  <si>
    <t>Большешурнякское</t>
  </si>
  <si>
    <t>92626420</t>
  </si>
  <si>
    <t>396</t>
  </si>
  <si>
    <t>Город Елабуга</t>
  </si>
  <si>
    <t>92626101</t>
  </si>
  <si>
    <t>397</t>
  </si>
  <si>
    <t>398</t>
  </si>
  <si>
    <t>Костенеевское</t>
  </si>
  <si>
    <t>92626432</t>
  </si>
  <si>
    <t>399</t>
  </si>
  <si>
    <t>Лекаревское</t>
  </si>
  <si>
    <t>92626436</t>
  </si>
  <si>
    <t>400</t>
  </si>
  <si>
    <t>Мортовское</t>
  </si>
  <si>
    <t>92626444</t>
  </si>
  <si>
    <t>401</t>
  </si>
  <si>
    <t>Мурзихинское</t>
  </si>
  <si>
    <t>92626448</t>
  </si>
  <si>
    <t>402</t>
  </si>
  <si>
    <t>Поспеловское</t>
  </si>
  <si>
    <t>92626456</t>
  </si>
  <si>
    <t>403</t>
  </si>
  <si>
    <t>Старокуклюкское</t>
  </si>
  <si>
    <t>92626468</t>
  </si>
  <si>
    <t>404</t>
  </si>
  <si>
    <t>Староюрашское</t>
  </si>
  <si>
    <t>92626472</t>
  </si>
  <si>
    <t>405</t>
  </si>
  <si>
    <t>Танайское</t>
  </si>
  <si>
    <t>92626476</t>
  </si>
  <si>
    <t>406</t>
  </si>
  <si>
    <t>Татарско-Дюм-Дюмское</t>
  </si>
  <si>
    <t>92626478</t>
  </si>
  <si>
    <t>407</t>
  </si>
  <si>
    <t>Яковлевское</t>
  </si>
  <si>
    <t>92626492</t>
  </si>
  <si>
    <t>408</t>
  </si>
  <si>
    <t>Заинский муниципальный район</t>
  </si>
  <si>
    <t>92627000</t>
  </si>
  <si>
    <t>Аксаринское</t>
  </si>
  <si>
    <t>92627484</t>
  </si>
  <si>
    <t>409</t>
  </si>
  <si>
    <t>Александро-Слободское</t>
  </si>
  <si>
    <t>92627405</t>
  </si>
  <si>
    <t>410</t>
  </si>
  <si>
    <t>Багряжское</t>
  </si>
  <si>
    <t>92627415</t>
  </si>
  <si>
    <t>411</t>
  </si>
  <si>
    <t>Бегишевское</t>
  </si>
  <si>
    <t>92627420</t>
  </si>
  <si>
    <t>412</t>
  </si>
  <si>
    <t>Бухарайское</t>
  </si>
  <si>
    <t>92627425</t>
  </si>
  <si>
    <t>413</t>
  </si>
  <si>
    <t>Верхненалимское</t>
  </si>
  <si>
    <t>92627430</t>
  </si>
  <si>
    <t>414</t>
  </si>
  <si>
    <t>Верхнепинячинское</t>
  </si>
  <si>
    <t>92627432</t>
  </si>
  <si>
    <t>415</t>
  </si>
  <si>
    <t>Верхнешипкинское</t>
  </si>
  <si>
    <t>92627434</t>
  </si>
  <si>
    <t>416</t>
  </si>
  <si>
    <t>Город Заинск</t>
  </si>
  <si>
    <t>92627101</t>
  </si>
  <si>
    <t>417</t>
  </si>
  <si>
    <t>Гулькинское</t>
  </si>
  <si>
    <t>92627435</t>
  </si>
  <si>
    <t>418</t>
  </si>
  <si>
    <t>Дуртмунчинское</t>
  </si>
  <si>
    <t>92627444</t>
  </si>
  <si>
    <t>419</t>
  </si>
  <si>
    <t>420</t>
  </si>
  <si>
    <t>Кадыровское</t>
  </si>
  <si>
    <t>92627410</t>
  </si>
  <si>
    <t>421</t>
  </si>
  <si>
    <t>Нижнебишевское</t>
  </si>
  <si>
    <t>92627454</t>
  </si>
  <si>
    <t>422</t>
  </si>
  <si>
    <t>Новоспасское</t>
  </si>
  <si>
    <t>92627459</t>
  </si>
  <si>
    <t>423</t>
  </si>
  <si>
    <t>92627464</t>
  </si>
  <si>
    <t>424</t>
  </si>
  <si>
    <t>Поручиковское</t>
  </si>
  <si>
    <t>92627466</t>
  </si>
  <si>
    <t>425</t>
  </si>
  <si>
    <t>Савалеевское</t>
  </si>
  <si>
    <t>92627468</t>
  </si>
  <si>
    <t>426</t>
  </si>
  <si>
    <t>Сармаш-Башское</t>
  </si>
  <si>
    <t>92627476</t>
  </si>
  <si>
    <t>427</t>
  </si>
  <si>
    <t>Светлоозерское</t>
  </si>
  <si>
    <t>92627480</t>
  </si>
  <si>
    <t>428</t>
  </si>
  <si>
    <t>Старо-Мавринское</t>
  </si>
  <si>
    <t>92627481</t>
  </si>
  <si>
    <t>429</t>
  </si>
  <si>
    <t>Тюгеевское</t>
  </si>
  <si>
    <t>92627488</t>
  </si>
  <si>
    <t>430</t>
  </si>
  <si>
    <t>92627489</t>
  </si>
  <si>
    <t>431</t>
  </si>
  <si>
    <t>Чубуклинское</t>
  </si>
  <si>
    <t>92627490</t>
  </si>
  <si>
    <t>432</t>
  </si>
  <si>
    <t>Зеленодольский муниципальный район</t>
  </si>
  <si>
    <t>92628000</t>
  </si>
  <si>
    <t>Айшинское</t>
  </si>
  <si>
    <t>92628404</t>
  </si>
  <si>
    <t>433</t>
  </si>
  <si>
    <t>Акзигитовское</t>
  </si>
  <si>
    <t>92628408</t>
  </si>
  <si>
    <t>434</t>
  </si>
  <si>
    <t>Бишнинское</t>
  </si>
  <si>
    <t>92628416</t>
  </si>
  <si>
    <t>435</t>
  </si>
  <si>
    <t>Большеачасырское</t>
  </si>
  <si>
    <t>92628412</t>
  </si>
  <si>
    <t>436</t>
  </si>
  <si>
    <t>Большеключинское</t>
  </si>
  <si>
    <t>92628420</t>
  </si>
  <si>
    <t>437</t>
  </si>
  <si>
    <t>Большекургузинское</t>
  </si>
  <si>
    <t>92628424</t>
  </si>
  <si>
    <t>438</t>
  </si>
  <si>
    <t>Большеширданское</t>
  </si>
  <si>
    <t>92628432</t>
  </si>
  <si>
    <t>439</t>
  </si>
  <si>
    <t>Большеякинское</t>
  </si>
  <si>
    <t>92628488</t>
  </si>
  <si>
    <t>440</t>
  </si>
  <si>
    <t>Город Зеленодольск</t>
  </si>
  <si>
    <t>92628101</t>
  </si>
  <si>
    <t>441</t>
  </si>
  <si>
    <t>442</t>
  </si>
  <si>
    <t>Кугеевское</t>
  </si>
  <si>
    <t>92628442</t>
  </si>
  <si>
    <t>443</t>
  </si>
  <si>
    <t>Кугушевское</t>
  </si>
  <si>
    <t>92628444</t>
  </si>
  <si>
    <t>444</t>
  </si>
  <si>
    <t>Мамадыш-Акиловское</t>
  </si>
  <si>
    <t>92628448</t>
  </si>
  <si>
    <t>445</t>
  </si>
  <si>
    <t>Молвинское</t>
  </si>
  <si>
    <t>92628454</t>
  </si>
  <si>
    <t>446</t>
  </si>
  <si>
    <t>Нижнеураспугинское</t>
  </si>
  <si>
    <t>92628456</t>
  </si>
  <si>
    <t>447</t>
  </si>
  <si>
    <t>Новопольское</t>
  </si>
  <si>
    <t>92628460</t>
  </si>
  <si>
    <t>448</t>
  </si>
  <si>
    <t>92628464</t>
  </si>
  <si>
    <t>449</t>
  </si>
  <si>
    <t>92628468</t>
  </si>
  <si>
    <t>450</t>
  </si>
  <si>
    <t>Осиновское</t>
  </si>
  <si>
    <t>92628472</t>
  </si>
  <si>
    <t>451</t>
  </si>
  <si>
    <t>Раифское</t>
  </si>
  <si>
    <t>92628474</t>
  </si>
  <si>
    <t>452</t>
  </si>
  <si>
    <t>Русско-Азелеевское</t>
  </si>
  <si>
    <t>92628476</t>
  </si>
  <si>
    <t>453</t>
  </si>
  <si>
    <t>Свияжское</t>
  </si>
  <si>
    <t>92628477</t>
  </si>
  <si>
    <t>454</t>
  </si>
  <si>
    <t>Утяшкинское</t>
  </si>
  <si>
    <t>92628436</t>
  </si>
  <si>
    <t>455</t>
  </si>
  <si>
    <t>поселок городского типа Васильево</t>
  </si>
  <si>
    <t>92628155</t>
  </si>
  <si>
    <t>456</t>
  </si>
  <si>
    <t>поселок городского типа Нижние Вязовые</t>
  </si>
  <si>
    <t>92628162</t>
  </si>
  <si>
    <t>457</t>
  </si>
  <si>
    <t>Кайбицкий муниципальный район</t>
  </si>
  <si>
    <t>92629000</t>
  </si>
  <si>
    <t>Багаевское</t>
  </si>
  <si>
    <t>92629405</t>
  </si>
  <si>
    <t>458</t>
  </si>
  <si>
    <t>Большекайбицкое</t>
  </si>
  <si>
    <t>92629408</t>
  </si>
  <si>
    <t>459</t>
  </si>
  <si>
    <t>Большеподберезинское</t>
  </si>
  <si>
    <t>92629409</t>
  </si>
  <si>
    <t>460</t>
  </si>
  <si>
    <t>Большерусаковское</t>
  </si>
  <si>
    <t>92629410</t>
  </si>
  <si>
    <t>461</t>
  </si>
  <si>
    <t>Бурундуковское</t>
  </si>
  <si>
    <t>92629412</t>
  </si>
  <si>
    <t>462</t>
  </si>
  <si>
    <t>463</t>
  </si>
  <si>
    <t>Кулангинское</t>
  </si>
  <si>
    <t>92629423</t>
  </si>
  <si>
    <t>464</t>
  </si>
  <si>
    <t>Кушманское</t>
  </si>
  <si>
    <t>92629426</t>
  </si>
  <si>
    <t>465</t>
  </si>
  <si>
    <t>Маломеминское</t>
  </si>
  <si>
    <t>92629428</t>
  </si>
  <si>
    <t>466</t>
  </si>
  <si>
    <t>Молькеевское</t>
  </si>
  <si>
    <t>92629430</t>
  </si>
  <si>
    <t>467</t>
  </si>
  <si>
    <t>Муралинское</t>
  </si>
  <si>
    <t>92629432</t>
  </si>
  <si>
    <t>468</t>
  </si>
  <si>
    <t>Надеждинское</t>
  </si>
  <si>
    <t>92629435</t>
  </si>
  <si>
    <t>469</t>
  </si>
  <si>
    <t>Старотябердинское</t>
  </si>
  <si>
    <t>92629445</t>
  </si>
  <si>
    <t>470</t>
  </si>
  <si>
    <t>Ульянковское</t>
  </si>
  <si>
    <t>92629447</t>
  </si>
  <si>
    <t>471</t>
  </si>
  <si>
    <t>Федоровское</t>
  </si>
  <si>
    <t>92629450</t>
  </si>
  <si>
    <t>472</t>
  </si>
  <si>
    <t>Хозесановское</t>
  </si>
  <si>
    <t>92629455</t>
  </si>
  <si>
    <t>473</t>
  </si>
  <si>
    <t>Чутеевское</t>
  </si>
  <si>
    <t>92629460</t>
  </si>
  <si>
    <t>474</t>
  </si>
  <si>
    <t>Эбалаковское</t>
  </si>
  <si>
    <t>92629465</t>
  </si>
  <si>
    <t>475</t>
  </si>
  <si>
    <t>Камско-Устьинский муниципальный район</t>
  </si>
  <si>
    <t>92630000</t>
  </si>
  <si>
    <t>92630403</t>
  </si>
  <si>
    <t>476</t>
  </si>
  <si>
    <t>Большебуртасское</t>
  </si>
  <si>
    <t>92630405</t>
  </si>
  <si>
    <t>477</t>
  </si>
  <si>
    <t>Большекармалинское</t>
  </si>
  <si>
    <t>92630410</t>
  </si>
  <si>
    <t>478</t>
  </si>
  <si>
    <t>Большекляринское</t>
  </si>
  <si>
    <t>92630415</t>
  </si>
  <si>
    <t>479</t>
  </si>
  <si>
    <t>Большесалтыковское</t>
  </si>
  <si>
    <t>92630420</t>
  </si>
  <si>
    <t>480</t>
  </si>
  <si>
    <t>Варваринское</t>
  </si>
  <si>
    <t>92630425</t>
  </si>
  <si>
    <t>481</t>
  </si>
  <si>
    <t>482</t>
  </si>
  <si>
    <t>Кирельское</t>
  </si>
  <si>
    <t>92630430</t>
  </si>
  <si>
    <t>483</t>
  </si>
  <si>
    <t>Клянчеевское</t>
  </si>
  <si>
    <t>92630435</t>
  </si>
  <si>
    <t>484</t>
  </si>
  <si>
    <t>Красновидовское</t>
  </si>
  <si>
    <t>92630440</t>
  </si>
  <si>
    <t>485</t>
  </si>
  <si>
    <t>Малосалтыковское</t>
  </si>
  <si>
    <t>92630445</t>
  </si>
  <si>
    <t>486</t>
  </si>
  <si>
    <t>Осинниковское</t>
  </si>
  <si>
    <t>92630447</t>
  </si>
  <si>
    <t>487</t>
  </si>
  <si>
    <t>Старобарышевское</t>
  </si>
  <si>
    <t>92630450</t>
  </si>
  <si>
    <t>488</t>
  </si>
  <si>
    <t>Староказеевское</t>
  </si>
  <si>
    <t>92630455</t>
  </si>
  <si>
    <t>489</t>
  </si>
  <si>
    <t>Сюкеевское</t>
  </si>
  <si>
    <t>92630460</t>
  </si>
  <si>
    <t>490</t>
  </si>
  <si>
    <t>Теньковское</t>
  </si>
  <si>
    <t>92630465</t>
  </si>
  <si>
    <t>491</t>
  </si>
  <si>
    <t>Уразлинское</t>
  </si>
  <si>
    <t>92630470</t>
  </si>
  <si>
    <t>492</t>
  </si>
  <si>
    <t>Янгасалское</t>
  </si>
  <si>
    <t>92630475</t>
  </si>
  <si>
    <t>493</t>
  </si>
  <si>
    <t>поселок городского типа Камское Устье</t>
  </si>
  <si>
    <t>92630151</t>
  </si>
  <si>
    <t>494</t>
  </si>
  <si>
    <t>поселок городского типа Куйбышевский Затон</t>
  </si>
  <si>
    <t>92630157</t>
  </si>
  <si>
    <t>495</t>
  </si>
  <si>
    <t>поселок городского типа Тенишево</t>
  </si>
  <si>
    <t>92630165</t>
  </si>
  <si>
    <t>496</t>
  </si>
  <si>
    <t>92633000</t>
  </si>
  <si>
    <t>Байлянгарское</t>
  </si>
  <si>
    <t>92633404</t>
  </si>
  <si>
    <t>497</t>
  </si>
  <si>
    <t>Березнякское</t>
  </si>
  <si>
    <t>92633408</t>
  </si>
  <si>
    <t>498</t>
  </si>
  <si>
    <t>Большекукморское</t>
  </si>
  <si>
    <t>92633412</t>
  </si>
  <si>
    <t>499</t>
  </si>
  <si>
    <t>Большесардекское</t>
  </si>
  <si>
    <t>92633416</t>
  </si>
  <si>
    <t>500</t>
  </si>
  <si>
    <t>Важашурское</t>
  </si>
  <si>
    <t>92633420</t>
  </si>
  <si>
    <t>501</t>
  </si>
  <si>
    <t>Каенсарское</t>
  </si>
  <si>
    <t>92633423</t>
  </si>
  <si>
    <t>502</t>
  </si>
  <si>
    <t>Каркаусское</t>
  </si>
  <si>
    <t>92633424</t>
  </si>
  <si>
    <t>503</t>
  </si>
  <si>
    <t>92633428</t>
  </si>
  <si>
    <t>504</t>
  </si>
  <si>
    <t>505</t>
  </si>
  <si>
    <t>Лельвижское</t>
  </si>
  <si>
    <t>92633429</t>
  </si>
  <si>
    <t>506</t>
  </si>
  <si>
    <t>Лубянское</t>
  </si>
  <si>
    <t>92633434</t>
  </si>
  <si>
    <t>507</t>
  </si>
  <si>
    <t>Мамаширское</t>
  </si>
  <si>
    <t>92633430</t>
  </si>
  <si>
    <t>508</t>
  </si>
  <si>
    <t>Манзарасское</t>
  </si>
  <si>
    <t>92633432</t>
  </si>
  <si>
    <t>509</t>
  </si>
  <si>
    <t>Нижнеискубашское</t>
  </si>
  <si>
    <t>92633436</t>
  </si>
  <si>
    <t>510</t>
  </si>
  <si>
    <t>Нижнерусское</t>
  </si>
  <si>
    <t>92633440</t>
  </si>
  <si>
    <t>511</t>
  </si>
  <si>
    <t>Нырьинское</t>
  </si>
  <si>
    <t>92633448</t>
  </si>
  <si>
    <t>513</t>
  </si>
  <si>
    <t>Олуязское</t>
  </si>
  <si>
    <t>92633452</t>
  </si>
  <si>
    <t>514</t>
  </si>
  <si>
    <t>Ошторма-Юмьинское</t>
  </si>
  <si>
    <t>92633456</t>
  </si>
  <si>
    <t>515</t>
  </si>
  <si>
    <t>Починок-Кучуковское</t>
  </si>
  <si>
    <t>92633460</t>
  </si>
  <si>
    <t>516</t>
  </si>
  <si>
    <t>Псякское</t>
  </si>
  <si>
    <t>92633464</t>
  </si>
  <si>
    <t>517</t>
  </si>
  <si>
    <t>Сардекбашское</t>
  </si>
  <si>
    <t>92633468</t>
  </si>
  <si>
    <t>518</t>
  </si>
  <si>
    <t>Село-Чуринское</t>
  </si>
  <si>
    <t>92633472</t>
  </si>
  <si>
    <t>519</t>
  </si>
  <si>
    <t>Среднекуморское</t>
  </si>
  <si>
    <t>92633476</t>
  </si>
  <si>
    <t>520</t>
  </si>
  <si>
    <t>Туембашское</t>
  </si>
  <si>
    <t>92633477</t>
  </si>
  <si>
    <t>521</t>
  </si>
  <si>
    <t>Уркушское</t>
  </si>
  <si>
    <t>92633478</t>
  </si>
  <si>
    <t>522</t>
  </si>
  <si>
    <t>Чарлинское</t>
  </si>
  <si>
    <t>92633480</t>
  </si>
  <si>
    <t>523</t>
  </si>
  <si>
    <t>Ядыгерьское</t>
  </si>
  <si>
    <t>92633484</t>
  </si>
  <si>
    <t>524</t>
  </si>
  <si>
    <t>Яныльское</t>
  </si>
  <si>
    <t>92633488</t>
  </si>
  <si>
    <t>525</t>
  </si>
  <si>
    <t>Ятмас-Дусаевское</t>
  </si>
  <si>
    <t>92633490</t>
  </si>
  <si>
    <t>526</t>
  </si>
  <si>
    <t>Лаишевский муниципальный район</t>
  </si>
  <si>
    <t>92634000</t>
  </si>
  <si>
    <t>92634404</t>
  </si>
  <si>
    <t>528</t>
  </si>
  <si>
    <t>Атабаевское</t>
  </si>
  <si>
    <t>92634408</t>
  </si>
  <si>
    <t>529</t>
  </si>
  <si>
    <t>Большекабанское</t>
  </si>
  <si>
    <t>92634412</t>
  </si>
  <si>
    <t>530</t>
  </si>
  <si>
    <t>Габишевское</t>
  </si>
  <si>
    <t>92634414</t>
  </si>
  <si>
    <t>531</t>
  </si>
  <si>
    <t>Город Лаишево</t>
  </si>
  <si>
    <t>92634101</t>
  </si>
  <si>
    <t>532</t>
  </si>
  <si>
    <t>Державинское</t>
  </si>
  <si>
    <t>92634415</t>
  </si>
  <si>
    <t>533</t>
  </si>
  <si>
    <t>Егорьевское</t>
  </si>
  <si>
    <t>92634416</t>
  </si>
  <si>
    <t>534</t>
  </si>
  <si>
    <t>Кирбинское</t>
  </si>
  <si>
    <t>92634428</t>
  </si>
  <si>
    <t>535</t>
  </si>
  <si>
    <t>Куюковское</t>
  </si>
  <si>
    <t>92634432</t>
  </si>
  <si>
    <t>536</t>
  </si>
  <si>
    <t>537</t>
  </si>
  <si>
    <t>Макаровское</t>
  </si>
  <si>
    <t>92634436</t>
  </si>
  <si>
    <t>538</t>
  </si>
  <si>
    <t>Малоелгинское</t>
  </si>
  <si>
    <t>92634440</t>
  </si>
  <si>
    <t>539</t>
  </si>
  <si>
    <t>Матюшинское</t>
  </si>
  <si>
    <t>92634442</t>
  </si>
  <si>
    <t>540</t>
  </si>
  <si>
    <t>Нармонское</t>
  </si>
  <si>
    <t>92634444</t>
  </si>
  <si>
    <t>541</t>
  </si>
  <si>
    <t>Никольское</t>
  </si>
  <si>
    <t>92634448</t>
  </si>
  <si>
    <t>542</t>
  </si>
  <si>
    <t>Орловское</t>
  </si>
  <si>
    <t>92634484</t>
  </si>
  <si>
    <t>543</t>
  </si>
  <si>
    <t>Пелевское</t>
  </si>
  <si>
    <t>92634452</t>
  </si>
  <si>
    <t>544</t>
  </si>
  <si>
    <t>Песчано-Ковалинское</t>
  </si>
  <si>
    <t>92634456</t>
  </si>
  <si>
    <t>545</t>
  </si>
  <si>
    <t>Рождественское</t>
  </si>
  <si>
    <t>92634460</t>
  </si>
  <si>
    <t>546</t>
  </si>
  <si>
    <t>Сокуровское</t>
  </si>
  <si>
    <t>92634468</t>
  </si>
  <si>
    <t>547</t>
  </si>
  <si>
    <t>Среднедевятовское</t>
  </si>
  <si>
    <t>92634472</t>
  </si>
  <si>
    <t>548</t>
  </si>
  <si>
    <t>Столбищенское</t>
  </si>
  <si>
    <t>92634480</t>
  </si>
  <si>
    <t>549</t>
  </si>
  <si>
    <t>Татарско-Сараловское</t>
  </si>
  <si>
    <t>92634486</t>
  </si>
  <si>
    <t>550</t>
  </si>
  <si>
    <t>Татарско-Янтыкское</t>
  </si>
  <si>
    <t>92634488</t>
  </si>
  <si>
    <t>551</t>
  </si>
  <si>
    <t>Чирповское</t>
  </si>
  <si>
    <t>92634492</t>
  </si>
  <si>
    <t>552</t>
  </si>
  <si>
    <t>Лениногорский муниципальный район</t>
  </si>
  <si>
    <t>92636000</t>
  </si>
  <si>
    <t>Глазовское</t>
  </si>
  <si>
    <t>92636405</t>
  </si>
  <si>
    <t>553</t>
  </si>
  <si>
    <t>Город Лениногорск</t>
  </si>
  <si>
    <t>92636101</t>
  </si>
  <si>
    <t>554</t>
  </si>
  <si>
    <t>Зай-Каратайское</t>
  </si>
  <si>
    <t>92636410</t>
  </si>
  <si>
    <t>555</t>
  </si>
  <si>
    <t>92636412</t>
  </si>
  <si>
    <t>556</t>
  </si>
  <si>
    <t>Ивановское</t>
  </si>
  <si>
    <t>92636415</t>
  </si>
  <si>
    <t>557</t>
  </si>
  <si>
    <t>Каркалинское</t>
  </si>
  <si>
    <t>92636418</t>
  </si>
  <si>
    <t>558</t>
  </si>
  <si>
    <t>Кармалкинское</t>
  </si>
  <si>
    <t>92636419</t>
  </si>
  <si>
    <t>559</t>
  </si>
  <si>
    <t>Керлигачское</t>
  </si>
  <si>
    <t>92636420</t>
  </si>
  <si>
    <t>560</t>
  </si>
  <si>
    <t>Куакбашское</t>
  </si>
  <si>
    <t>92636425</t>
  </si>
  <si>
    <t>561</t>
  </si>
  <si>
    <t>562</t>
  </si>
  <si>
    <t>Мичуринское</t>
  </si>
  <si>
    <t>92636435</t>
  </si>
  <si>
    <t>563</t>
  </si>
  <si>
    <t>Мукмин-Каратайское</t>
  </si>
  <si>
    <t>92636437</t>
  </si>
  <si>
    <t>564</t>
  </si>
  <si>
    <t>Нижнечершилинское</t>
  </si>
  <si>
    <t>92636440</t>
  </si>
  <si>
    <t>565</t>
  </si>
  <si>
    <t>Новоиштерякское</t>
  </si>
  <si>
    <t>92636445</t>
  </si>
  <si>
    <t>566</t>
  </si>
  <si>
    <t>Новочершилинское</t>
  </si>
  <si>
    <t>92636447</t>
  </si>
  <si>
    <t>567</t>
  </si>
  <si>
    <t>Письмянское</t>
  </si>
  <si>
    <t>92636450</t>
  </si>
  <si>
    <t>568</t>
  </si>
  <si>
    <t>Сарабикуловское</t>
  </si>
  <si>
    <t>92636455</t>
  </si>
  <si>
    <t>569</t>
  </si>
  <si>
    <t>Староиштерякское</t>
  </si>
  <si>
    <t>92636460</t>
  </si>
  <si>
    <t>570</t>
  </si>
  <si>
    <t>Старокувакское</t>
  </si>
  <si>
    <t>92636465</t>
  </si>
  <si>
    <t>571</t>
  </si>
  <si>
    <t>Старошугуровское</t>
  </si>
  <si>
    <t>92636470</t>
  </si>
  <si>
    <t>572</t>
  </si>
  <si>
    <t>Сугушлинское</t>
  </si>
  <si>
    <t>92636475</t>
  </si>
  <si>
    <t>573</t>
  </si>
  <si>
    <t>Тимяшевское</t>
  </si>
  <si>
    <t>92636480</t>
  </si>
  <si>
    <t>574</t>
  </si>
  <si>
    <t>Туктарово-Урдалинское</t>
  </si>
  <si>
    <t>92636485</t>
  </si>
  <si>
    <t>575</t>
  </si>
  <si>
    <t>Урмышлинское</t>
  </si>
  <si>
    <t>92636490</t>
  </si>
  <si>
    <t>576</t>
  </si>
  <si>
    <t>Федотовское</t>
  </si>
  <si>
    <t>92636495</t>
  </si>
  <si>
    <t>577</t>
  </si>
  <si>
    <t>Шугуровское</t>
  </si>
  <si>
    <t>92636497</t>
  </si>
  <si>
    <t>578</t>
  </si>
  <si>
    <t>Мамадышский муниципальный район</t>
  </si>
  <si>
    <t>92638000</t>
  </si>
  <si>
    <t>Албайское</t>
  </si>
  <si>
    <t>92638403</t>
  </si>
  <si>
    <t>579</t>
  </si>
  <si>
    <t>Верхнеошминское</t>
  </si>
  <si>
    <t>92638406</t>
  </si>
  <si>
    <t>580</t>
  </si>
  <si>
    <t>Город Мамадыш</t>
  </si>
  <si>
    <t>92638101</t>
  </si>
  <si>
    <t>581</t>
  </si>
  <si>
    <t>Дюсьметьевское</t>
  </si>
  <si>
    <t>92638415</t>
  </si>
  <si>
    <t>582</t>
  </si>
  <si>
    <t>Ишкеевское</t>
  </si>
  <si>
    <t>92638418</t>
  </si>
  <si>
    <t>583</t>
  </si>
  <si>
    <t>Катмышское</t>
  </si>
  <si>
    <t>92638421</t>
  </si>
  <si>
    <t>584</t>
  </si>
  <si>
    <t>Кемеш-Кульское</t>
  </si>
  <si>
    <t>92638424</t>
  </si>
  <si>
    <t>585</t>
  </si>
  <si>
    <t>Кляушское</t>
  </si>
  <si>
    <t>92638427</t>
  </si>
  <si>
    <t>586</t>
  </si>
  <si>
    <t>Красногорское</t>
  </si>
  <si>
    <t>92638430</t>
  </si>
  <si>
    <t>587</t>
  </si>
  <si>
    <t>Куюк-Ерыксинское</t>
  </si>
  <si>
    <t>92638436</t>
  </si>
  <si>
    <t>588</t>
  </si>
  <si>
    <t>Малокирменское</t>
  </si>
  <si>
    <t>92638442</t>
  </si>
  <si>
    <t>589</t>
  </si>
  <si>
    <t>590</t>
  </si>
  <si>
    <t>Нижнеошминское</t>
  </si>
  <si>
    <t>92638448</t>
  </si>
  <si>
    <t>591</t>
  </si>
  <si>
    <t>Нижнесуньское</t>
  </si>
  <si>
    <t>92638451</t>
  </si>
  <si>
    <t>592</t>
  </si>
  <si>
    <t>Нижнетаканышское</t>
  </si>
  <si>
    <t>92638454</t>
  </si>
  <si>
    <t>593</t>
  </si>
  <si>
    <t>Нижнешандерское</t>
  </si>
  <si>
    <t>92638457</t>
  </si>
  <si>
    <t>594</t>
  </si>
  <si>
    <t>Никифоровское</t>
  </si>
  <si>
    <t>92638460</t>
  </si>
  <si>
    <t>595</t>
  </si>
  <si>
    <t>92638463</t>
  </si>
  <si>
    <t>596</t>
  </si>
  <si>
    <t>Омарское</t>
  </si>
  <si>
    <t>92638466</t>
  </si>
  <si>
    <t>597</t>
  </si>
  <si>
    <t>Отарское</t>
  </si>
  <si>
    <t>92638469</t>
  </si>
  <si>
    <t>598</t>
  </si>
  <si>
    <t>Сокольское</t>
  </si>
  <si>
    <t>92638475</t>
  </si>
  <si>
    <t>599</t>
  </si>
  <si>
    <t>Среднекирменское</t>
  </si>
  <si>
    <t>92638478</t>
  </si>
  <si>
    <t>600</t>
  </si>
  <si>
    <t>Суньское</t>
  </si>
  <si>
    <t>92638480</t>
  </si>
  <si>
    <t>601</t>
  </si>
  <si>
    <t>Тавельское</t>
  </si>
  <si>
    <t>92638481</t>
  </si>
  <si>
    <t>602</t>
  </si>
  <si>
    <t>Уразбахтинское</t>
  </si>
  <si>
    <t>92638484</t>
  </si>
  <si>
    <t>603</t>
  </si>
  <si>
    <t>Урманчеевское</t>
  </si>
  <si>
    <t>92638487</t>
  </si>
  <si>
    <t>604</t>
  </si>
  <si>
    <t>Усалинское</t>
  </si>
  <si>
    <t>92638490</t>
  </si>
  <si>
    <t>605</t>
  </si>
  <si>
    <t>Шадчинское</t>
  </si>
  <si>
    <t>92638493</t>
  </si>
  <si>
    <t>606</t>
  </si>
  <si>
    <t>Шемяковское</t>
  </si>
  <si>
    <t>92638495</t>
  </si>
  <si>
    <t>607</t>
  </si>
  <si>
    <t>Якинское</t>
  </si>
  <si>
    <t>92638498</t>
  </si>
  <si>
    <t>608</t>
  </si>
  <si>
    <t>Менделеевский муниципальный район</t>
  </si>
  <si>
    <t>92639000</t>
  </si>
  <si>
    <t>Абалачевское</t>
  </si>
  <si>
    <t>92639403</t>
  </si>
  <si>
    <t>609</t>
  </si>
  <si>
    <t>Бизякинское</t>
  </si>
  <si>
    <t>92639410</t>
  </si>
  <si>
    <t>610</t>
  </si>
  <si>
    <t>Брюшлинское</t>
  </si>
  <si>
    <t>92639415</t>
  </si>
  <si>
    <t>611</t>
  </si>
  <si>
    <t>Город Менделеевск</t>
  </si>
  <si>
    <t>92639101</t>
  </si>
  <si>
    <t>612</t>
  </si>
  <si>
    <t>Енабердинское</t>
  </si>
  <si>
    <t>92639418</t>
  </si>
  <si>
    <t>613</t>
  </si>
  <si>
    <t>Ижевское</t>
  </si>
  <si>
    <t>92639423</t>
  </si>
  <si>
    <t>614</t>
  </si>
  <si>
    <t>Камаевское</t>
  </si>
  <si>
    <t>92639428</t>
  </si>
  <si>
    <t>615</t>
  </si>
  <si>
    <t>616</t>
  </si>
  <si>
    <t>Монашевское</t>
  </si>
  <si>
    <t>92639440</t>
  </si>
  <si>
    <t>617</t>
  </si>
  <si>
    <t>Мунайкинское</t>
  </si>
  <si>
    <t>92639441</t>
  </si>
  <si>
    <t>618</t>
  </si>
  <si>
    <t>Псеевское</t>
  </si>
  <si>
    <t>92639443</t>
  </si>
  <si>
    <t>619</t>
  </si>
  <si>
    <t>Старогришкинское</t>
  </si>
  <si>
    <t>92639464</t>
  </si>
  <si>
    <t>620</t>
  </si>
  <si>
    <t>Татарско-Челнинское</t>
  </si>
  <si>
    <t>92639480</t>
  </si>
  <si>
    <t>621</t>
  </si>
  <si>
    <t>Тихоновское</t>
  </si>
  <si>
    <t>92639483</t>
  </si>
  <si>
    <t>622</t>
  </si>
  <si>
    <t>Тойгузинское</t>
  </si>
  <si>
    <t>92639485</t>
  </si>
  <si>
    <t>623</t>
  </si>
  <si>
    <t>Тураевское</t>
  </si>
  <si>
    <t>92639488</t>
  </si>
  <si>
    <t>624</t>
  </si>
  <si>
    <t>Мензелинский муниципальный район</t>
  </si>
  <si>
    <t>92640000</t>
  </si>
  <si>
    <t>Атряклинское</t>
  </si>
  <si>
    <t>92640404</t>
  </si>
  <si>
    <t>625</t>
  </si>
  <si>
    <t>Аюское</t>
  </si>
  <si>
    <t>92640408</t>
  </si>
  <si>
    <t>626</t>
  </si>
  <si>
    <t>Бикбуловское</t>
  </si>
  <si>
    <t>92640412</t>
  </si>
  <si>
    <t>627</t>
  </si>
  <si>
    <t>Верхнетакерменское</t>
  </si>
  <si>
    <t>92640416</t>
  </si>
  <si>
    <t>628</t>
  </si>
  <si>
    <t>Город Мензелинск</t>
  </si>
  <si>
    <t>92640101</t>
  </si>
  <si>
    <t>629</t>
  </si>
  <si>
    <t>Иркеняшское</t>
  </si>
  <si>
    <t>92640428</t>
  </si>
  <si>
    <t>630</t>
  </si>
  <si>
    <t>92640432</t>
  </si>
  <si>
    <t>631</t>
  </si>
  <si>
    <t>Коноваловское</t>
  </si>
  <si>
    <t>92640440</t>
  </si>
  <si>
    <t>632</t>
  </si>
  <si>
    <t>Кузембетьевское</t>
  </si>
  <si>
    <t>92640444</t>
  </si>
  <si>
    <t>633</t>
  </si>
  <si>
    <t>634</t>
  </si>
  <si>
    <t>Наратлы-Кичуское</t>
  </si>
  <si>
    <t>92640455</t>
  </si>
  <si>
    <t>635</t>
  </si>
  <si>
    <t>Николаевское</t>
  </si>
  <si>
    <t>92640457</t>
  </si>
  <si>
    <t>636</t>
  </si>
  <si>
    <t>Новомазинское</t>
  </si>
  <si>
    <t>92640459</t>
  </si>
  <si>
    <t>637</t>
  </si>
  <si>
    <t>Новомелькенское</t>
  </si>
  <si>
    <t>92640461</t>
  </si>
  <si>
    <t>638</t>
  </si>
  <si>
    <t>Подгорно-Байларское</t>
  </si>
  <si>
    <t>92640463</t>
  </si>
  <si>
    <t>639</t>
  </si>
  <si>
    <t>Старомазинское</t>
  </si>
  <si>
    <t>92640478</t>
  </si>
  <si>
    <t>640</t>
  </si>
  <si>
    <t>Староматвеевское</t>
  </si>
  <si>
    <t>92640481</t>
  </si>
  <si>
    <t>641</t>
  </si>
  <si>
    <t>Урусовское</t>
  </si>
  <si>
    <t>92640492</t>
  </si>
  <si>
    <t>642</t>
  </si>
  <si>
    <t>Юртовское</t>
  </si>
  <si>
    <t>92640494</t>
  </si>
  <si>
    <t>643</t>
  </si>
  <si>
    <t>Юшадинское</t>
  </si>
  <si>
    <t>92640496</t>
  </si>
  <si>
    <t>644</t>
  </si>
  <si>
    <t>им Воровского</t>
  </si>
  <si>
    <t>92640424</t>
  </si>
  <si>
    <t>645</t>
  </si>
  <si>
    <t>Муслюмовский муниципальный район</t>
  </si>
  <si>
    <t>92642000</t>
  </si>
  <si>
    <t>Амикеевское</t>
  </si>
  <si>
    <t>92642405</t>
  </si>
  <si>
    <t>646</t>
  </si>
  <si>
    <t>Баланнинское</t>
  </si>
  <si>
    <t>92642410</t>
  </si>
  <si>
    <t>647</t>
  </si>
  <si>
    <t>Баюковское</t>
  </si>
  <si>
    <t>92642415</t>
  </si>
  <si>
    <t>648</t>
  </si>
  <si>
    <t>Большечекмакское</t>
  </si>
  <si>
    <t>92642416</t>
  </si>
  <si>
    <t>649</t>
  </si>
  <si>
    <t>Варяш-Башское</t>
  </si>
  <si>
    <t>92642417</t>
  </si>
  <si>
    <t>650</t>
  </si>
  <si>
    <t>Исансуповское</t>
  </si>
  <si>
    <t>92642420</t>
  </si>
  <si>
    <t>651</t>
  </si>
  <si>
    <t>Кряш-Шуранское</t>
  </si>
  <si>
    <t>92642425</t>
  </si>
  <si>
    <t>652</t>
  </si>
  <si>
    <t>Мелля-Тамакское</t>
  </si>
  <si>
    <t>92642430</t>
  </si>
  <si>
    <t>653</t>
  </si>
  <si>
    <t>Митряевское</t>
  </si>
  <si>
    <t>92642435</t>
  </si>
  <si>
    <t>654</t>
  </si>
  <si>
    <t>Михайловское</t>
  </si>
  <si>
    <t>92642440</t>
  </si>
  <si>
    <t>655</t>
  </si>
  <si>
    <t>656</t>
  </si>
  <si>
    <t>Муслюмовское</t>
  </si>
  <si>
    <t>92642443</t>
  </si>
  <si>
    <t>657</t>
  </si>
  <si>
    <t>Нижнетабынское</t>
  </si>
  <si>
    <t>92642450</t>
  </si>
  <si>
    <t>658</t>
  </si>
  <si>
    <t>Новоусинское</t>
  </si>
  <si>
    <t>92642455</t>
  </si>
  <si>
    <t>659</t>
  </si>
  <si>
    <t>92642460</t>
  </si>
  <si>
    <t>660</t>
  </si>
  <si>
    <t>Семяковское</t>
  </si>
  <si>
    <t>92642465</t>
  </si>
  <si>
    <t>661</t>
  </si>
  <si>
    <t>Старокарамалинское</t>
  </si>
  <si>
    <t>92642470</t>
  </si>
  <si>
    <t>662</t>
  </si>
  <si>
    <t>Тойгильдинское</t>
  </si>
  <si>
    <t>92642475</t>
  </si>
  <si>
    <t>663</t>
  </si>
  <si>
    <t>Уразметьевское</t>
  </si>
  <si>
    <t>92642480</t>
  </si>
  <si>
    <t>664</t>
  </si>
  <si>
    <t>Шуганское</t>
  </si>
  <si>
    <t>92642485</t>
  </si>
  <si>
    <t>665</t>
  </si>
  <si>
    <t>Нижнекамский муниципальный район</t>
  </si>
  <si>
    <t>92644000</t>
  </si>
  <si>
    <t>Афанасовское</t>
  </si>
  <si>
    <t>92644405</t>
  </si>
  <si>
    <t>666</t>
  </si>
  <si>
    <t>Город Нижнекамск</t>
  </si>
  <si>
    <t>92644101</t>
  </si>
  <si>
    <t>667</t>
  </si>
  <si>
    <t>Елантовское</t>
  </si>
  <si>
    <t>92644407</t>
  </si>
  <si>
    <t>668</t>
  </si>
  <si>
    <t>Каенлинское</t>
  </si>
  <si>
    <t>92644410</t>
  </si>
  <si>
    <t>669</t>
  </si>
  <si>
    <t>Кармалинское</t>
  </si>
  <si>
    <t>92644412</t>
  </si>
  <si>
    <t>670</t>
  </si>
  <si>
    <t>Краснокадкинское</t>
  </si>
  <si>
    <t>92644420</t>
  </si>
  <si>
    <t>671</t>
  </si>
  <si>
    <t>Красноключинское</t>
  </si>
  <si>
    <t>92644415</t>
  </si>
  <si>
    <t>672</t>
  </si>
  <si>
    <t>Майскогорское</t>
  </si>
  <si>
    <t>92644423</t>
  </si>
  <si>
    <t>673</t>
  </si>
  <si>
    <t>92644425</t>
  </si>
  <si>
    <t>674</t>
  </si>
  <si>
    <t>675</t>
  </si>
  <si>
    <t>Нижнеуратьминское</t>
  </si>
  <si>
    <t>92644430</t>
  </si>
  <si>
    <t>676</t>
  </si>
  <si>
    <t>Простинское</t>
  </si>
  <si>
    <t>92644433</t>
  </si>
  <si>
    <t>677</t>
  </si>
  <si>
    <t>92644434</t>
  </si>
  <si>
    <t>678</t>
  </si>
  <si>
    <t>Старошешминское</t>
  </si>
  <si>
    <t>92644435</t>
  </si>
  <si>
    <t>679</t>
  </si>
  <si>
    <t>Сухаревское</t>
  </si>
  <si>
    <t>92644440</t>
  </si>
  <si>
    <t>680</t>
  </si>
  <si>
    <t>Шереметьевское</t>
  </si>
  <si>
    <t>92644445</t>
  </si>
  <si>
    <t>681</t>
  </si>
  <si>
    <t>Шингальчинское</t>
  </si>
  <si>
    <t>92644450</t>
  </si>
  <si>
    <t>682</t>
  </si>
  <si>
    <t>поселок городского типа Камские Поляны</t>
  </si>
  <si>
    <t>92644156</t>
  </si>
  <si>
    <t>683</t>
  </si>
  <si>
    <t>Новошешминский муниципальный район</t>
  </si>
  <si>
    <t>92645000</t>
  </si>
  <si>
    <t>Азеевское</t>
  </si>
  <si>
    <t>92645401</t>
  </si>
  <si>
    <t>684</t>
  </si>
  <si>
    <t>Акбуринское</t>
  </si>
  <si>
    <t>92645440</t>
  </si>
  <si>
    <t>685</t>
  </si>
  <si>
    <t>Архангельское</t>
  </si>
  <si>
    <t>92645402</t>
  </si>
  <si>
    <t>686</t>
  </si>
  <si>
    <t>Буревестниковское</t>
  </si>
  <si>
    <t>92645405</t>
  </si>
  <si>
    <t>687</t>
  </si>
  <si>
    <t>Екатерининское</t>
  </si>
  <si>
    <t>92645412</t>
  </si>
  <si>
    <t>688</t>
  </si>
  <si>
    <t>Зиреклинское</t>
  </si>
  <si>
    <t>92645419</t>
  </si>
  <si>
    <t>689</t>
  </si>
  <si>
    <t>Краснооктябрьское</t>
  </si>
  <si>
    <t>92645425</t>
  </si>
  <si>
    <t>690</t>
  </si>
  <si>
    <t>Ленинское</t>
  </si>
  <si>
    <t>92645428</t>
  </si>
  <si>
    <t>691</t>
  </si>
  <si>
    <t>692</t>
  </si>
  <si>
    <t>Новошешминское</t>
  </si>
  <si>
    <t>92645432</t>
  </si>
  <si>
    <t>693</t>
  </si>
  <si>
    <t>Петропавловское</t>
  </si>
  <si>
    <t>92645436</t>
  </si>
  <si>
    <t>694</t>
  </si>
  <si>
    <t>Тубылгытауское</t>
  </si>
  <si>
    <t>92645438</t>
  </si>
  <si>
    <t>695</t>
  </si>
  <si>
    <t>92645444</t>
  </si>
  <si>
    <t>696</t>
  </si>
  <si>
    <t>Чебоксарское</t>
  </si>
  <si>
    <t>92645447</t>
  </si>
  <si>
    <t>697</t>
  </si>
  <si>
    <t>Черемуховское</t>
  </si>
  <si>
    <t>92645450</t>
  </si>
  <si>
    <t>698</t>
  </si>
  <si>
    <t>Шахмайкинское</t>
  </si>
  <si>
    <t>92645453</t>
  </si>
  <si>
    <t>699</t>
  </si>
  <si>
    <t>Нурлатский муниципальный район</t>
  </si>
  <si>
    <t>92646000</t>
  </si>
  <si>
    <t>Амзинское</t>
  </si>
  <si>
    <t>92646408</t>
  </si>
  <si>
    <t>700</t>
  </si>
  <si>
    <t>Андреевское</t>
  </si>
  <si>
    <t>92646412</t>
  </si>
  <si>
    <t>701</t>
  </si>
  <si>
    <t>Ахметовское</t>
  </si>
  <si>
    <t>92646448</t>
  </si>
  <si>
    <t>702</t>
  </si>
  <si>
    <t>Бикуловское</t>
  </si>
  <si>
    <t>92646449</t>
  </si>
  <si>
    <t>703</t>
  </si>
  <si>
    <t>Биляр-Озерское</t>
  </si>
  <si>
    <t>92646416</t>
  </si>
  <si>
    <t>704</t>
  </si>
  <si>
    <t>Богдашкинское</t>
  </si>
  <si>
    <t>92646420</t>
  </si>
  <si>
    <t>705</t>
  </si>
  <si>
    <t>Бурметьевское</t>
  </si>
  <si>
    <t>92646424</t>
  </si>
  <si>
    <t>706</t>
  </si>
  <si>
    <t>Гайтанкинское</t>
  </si>
  <si>
    <t>92646427</t>
  </si>
  <si>
    <t>707</t>
  </si>
  <si>
    <t>Город Нурлат</t>
  </si>
  <si>
    <t>92646101</t>
  </si>
  <si>
    <t>708</t>
  </si>
  <si>
    <t>Егоркинское</t>
  </si>
  <si>
    <t>92646428</t>
  </si>
  <si>
    <t>709</t>
  </si>
  <si>
    <t>Елаурское</t>
  </si>
  <si>
    <t>92646432</t>
  </si>
  <si>
    <t>710</t>
  </si>
  <si>
    <t>Зареченское</t>
  </si>
  <si>
    <t>92646436</t>
  </si>
  <si>
    <t>711</t>
  </si>
  <si>
    <t>Кичкальнинское</t>
  </si>
  <si>
    <t>92646442</t>
  </si>
  <si>
    <t>712</t>
  </si>
  <si>
    <t>Кульбаево-Марасинское</t>
  </si>
  <si>
    <t>92646444</t>
  </si>
  <si>
    <t>713</t>
  </si>
  <si>
    <t>Мамыковское</t>
  </si>
  <si>
    <t>92646452</t>
  </si>
  <si>
    <t>714</t>
  </si>
  <si>
    <t>Новоиглайкинское</t>
  </si>
  <si>
    <t>92646460</t>
  </si>
  <si>
    <t>715</t>
  </si>
  <si>
    <t>Новотумбинское</t>
  </si>
  <si>
    <t>92646462</t>
  </si>
  <si>
    <t>716</t>
  </si>
  <si>
    <t>717</t>
  </si>
  <si>
    <t>Селенгушское</t>
  </si>
  <si>
    <t>92646464</t>
  </si>
  <si>
    <t>718</t>
  </si>
  <si>
    <t>Среднекамышлинское</t>
  </si>
  <si>
    <t>92646468</t>
  </si>
  <si>
    <t>719</t>
  </si>
  <si>
    <t>Староальметьевское</t>
  </si>
  <si>
    <t>92646472</t>
  </si>
  <si>
    <t>720</t>
  </si>
  <si>
    <t>92646476</t>
  </si>
  <si>
    <t>721</t>
  </si>
  <si>
    <t>Степноозерское</t>
  </si>
  <si>
    <t>92646480</t>
  </si>
  <si>
    <t>722</t>
  </si>
  <si>
    <t>Тимерлекское</t>
  </si>
  <si>
    <t>92646484</t>
  </si>
  <si>
    <t>723</t>
  </si>
  <si>
    <t>Тюрнясевское</t>
  </si>
  <si>
    <t>92646486</t>
  </si>
  <si>
    <t>724</t>
  </si>
  <si>
    <t>Фомкинское</t>
  </si>
  <si>
    <t>92646488</t>
  </si>
  <si>
    <t>725</t>
  </si>
  <si>
    <t>Чулпановское</t>
  </si>
  <si>
    <t>92646490</t>
  </si>
  <si>
    <t>726</t>
  </si>
  <si>
    <t>Якушкинское</t>
  </si>
  <si>
    <t>92646492</t>
  </si>
  <si>
    <t>727</t>
  </si>
  <si>
    <t>Пестречинский муниципальный район</t>
  </si>
  <si>
    <t>92648000</t>
  </si>
  <si>
    <t>Белкинское</t>
  </si>
  <si>
    <t>92648405</t>
  </si>
  <si>
    <t>728</t>
  </si>
  <si>
    <t>Богородское</t>
  </si>
  <si>
    <t>92648410</t>
  </si>
  <si>
    <t>729</t>
  </si>
  <si>
    <t>Екатериновское</t>
  </si>
  <si>
    <t>92648415</t>
  </si>
  <si>
    <t>730</t>
  </si>
  <si>
    <t>Кибячинское</t>
  </si>
  <si>
    <t>92648425</t>
  </si>
  <si>
    <t>731</t>
  </si>
  <si>
    <t>Кобяковское</t>
  </si>
  <si>
    <t>92648427</t>
  </si>
  <si>
    <t>732</t>
  </si>
  <si>
    <t>Ковалинское</t>
  </si>
  <si>
    <t>92648428</t>
  </si>
  <si>
    <t>733</t>
  </si>
  <si>
    <t>Конское</t>
  </si>
  <si>
    <t>92648430</t>
  </si>
  <si>
    <t>734</t>
  </si>
  <si>
    <t>Кощаковское</t>
  </si>
  <si>
    <t>92648435</t>
  </si>
  <si>
    <t>735</t>
  </si>
  <si>
    <t>Кряш-Сердинское</t>
  </si>
  <si>
    <t>92648440</t>
  </si>
  <si>
    <t>736</t>
  </si>
  <si>
    <t>Кулаевское</t>
  </si>
  <si>
    <t>92648445</t>
  </si>
  <si>
    <t>737</t>
  </si>
  <si>
    <t>Ленино-Кокушкинское</t>
  </si>
  <si>
    <t>92648450</t>
  </si>
  <si>
    <t>738</t>
  </si>
  <si>
    <t>92648452</t>
  </si>
  <si>
    <t>739</t>
  </si>
  <si>
    <t>Отар-Дубровское</t>
  </si>
  <si>
    <t>92648453</t>
  </si>
  <si>
    <t>740</t>
  </si>
  <si>
    <t>Пановское</t>
  </si>
  <si>
    <t>92648454</t>
  </si>
  <si>
    <t>741</t>
  </si>
  <si>
    <t>742</t>
  </si>
  <si>
    <t>Пестречинское</t>
  </si>
  <si>
    <t>92648455</t>
  </si>
  <si>
    <t>743</t>
  </si>
  <si>
    <t>Пимерское</t>
  </si>
  <si>
    <t>92648457</t>
  </si>
  <si>
    <t>744</t>
  </si>
  <si>
    <t>Татарско-Ходяшевское</t>
  </si>
  <si>
    <t>92648465</t>
  </si>
  <si>
    <t>745</t>
  </si>
  <si>
    <t>Читинское</t>
  </si>
  <si>
    <t>92648467</t>
  </si>
  <si>
    <t>746</t>
  </si>
  <si>
    <t>Шалинское</t>
  </si>
  <si>
    <t>92648470</t>
  </si>
  <si>
    <t>747</t>
  </si>
  <si>
    <t>Шигалеевское</t>
  </si>
  <si>
    <t>92648475</t>
  </si>
  <si>
    <t>748</t>
  </si>
  <si>
    <t>Янцеварское</t>
  </si>
  <si>
    <t>92648480</t>
  </si>
  <si>
    <t>749</t>
  </si>
  <si>
    <t>Рыбно-Слободский муниципальный район</t>
  </si>
  <si>
    <t>92650000</t>
  </si>
  <si>
    <t>Анатышское</t>
  </si>
  <si>
    <t>92650404</t>
  </si>
  <si>
    <t>750</t>
  </si>
  <si>
    <t>Балыклы-Чукаевское</t>
  </si>
  <si>
    <t>92650408</t>
  </si>
  <si>
    <t>751</t>
  </si>
  <si>
    <t>Бетьковское</t>
  </si>
  <si>
    <t>92650412</t>
  </si>
  <si>
    <t>752</t>
  </si>
  <si>
    <t>Биектауское</t>
  </si>
  <si>
    <t>92650416</t>
  </si>
  <si>
    <t>753</t>
  </si>
  <si>
    <t>Большеелгинское</t>
  </si>
  <si>
    <t>92650420</t>
  </si>
  <si>
    <t>754</t>
  </si>
  <si>
    <t>Большекульгинское</t>
  </si>
  <si>
    <t>92650424</t>
  </si>
  <si>
    <t>755</t>
  </si>
  <si>
    <t>Большемашлякское</t>
  </si>
  <si>
    <t>92650428</t>
  </si>
  <si>
    <t>756</t>
  </si>
  <si>
    <t>Большеошнякское</t>
  </si>
  <si>
    <t>92650432</t>
  </si>
  <si>
    <t>757</t>
  </si>
  <si>
    <t>Большесалтанское</t>
  </si>
  <si>
    <t>92650436</t>
  </si>
  <si>
    <t>758</t>
  </si>
  <si>
    <t>Козяково-Челнинское</t>
  </si>
  <si>
    <t>92650440</t>
  </si>
  <si>
    <t>759</t>
  </si>
  <si>
    <t>Корноуховское</t>
  </si>
  <si>
    <t>92650444</t>
  </si>
  <si>
    <t>760</t>
  </si>
  <si>
    <t>Кугарчинское</t>
  </si>
  <si>
    <t>92650448</t>
  </si>
  <si>
    <t>761</t>
  </si>
  <si>
    <t>Кукеевское</t>
  </si>
  <si>
    <t>92650450</t>
  </si>
  <si>
    <t>762</t>
  </si>
  <si>
    <t>Кутлу-Букашское</t>
  </si>
  <si>
    <t>92650452</t>
  </si>
  <si>
    <t>763</t>
  </si>
  <si>
    <t>Масловское</t>
  </si>
  <si>
    <t>92650454</t>
  </si>
  <si>
    <t>764</t>
  </si>
  <si>
    <t>Нижнетимерлекское</t>
  </si>
  <si>
    <t>92650456</t>
  </si>
  <si>
    <t>765</t>
  </si>
  <si>
    <t>Новоарышское</t>
  </si>
  <si>
    <t>92650460</t>
  </si>
  <si>
    <t>766</t>
  </si>
  <si>
    <t>Полянское</t>
  </si>
  <si>
    <t>92650462</t>
  </si>
  <si>
    <t>767</t>
  </si>
  <si>
    <t>Русско-Ошнякское</t>
  </si>
  <si>
    <t>92650464</t>
  </si>
  <si>
    <t>768</t>
  </si>
  <si>
    <t>769</t>
  </si>
  <si>
    <t>Троицко-Урайское</t>
  </si>
  <si>
    <t>92650472</t>
  </si>
  <si>
    <t>770</t>
  </si>
  <si>
    <t>Урахчинское</t>
  </si>
  <si>
    <t>92650476</t>
  </si>
  <si>
    <t>771</t>
  </si>
  <si>
    <t>Шеморбашское</t>
  </si>
  <si>
    <t>92650480</t>
  </si>
  <si>
    <t>772</t>
  </si>
  <si>
    <t>Шетнево-Тулушское</t>
  </si>
  <si>
    <t>92650484</t>
  </si>
  <si>
    <t>773</t>
  </si>
  <si>
    <t>Шумбутское</t>
  </si>
  <si>
    <t>92650488</t>
  </si>
  <si>
    <t>774</t>
  </si>
  <si>
    <t>Шумковское</t>
  </si>
  <si>
    <t>92650492</t>
  </si>
  <si>
    <t>775</t>
  </si>
  <si>
    <t>Юлсубинское</t>
  </si>
  <si>
    <t>92650496</t>
  </si>
  <si>
    <t>776</t>
  </si>
  <si>
    <t>поселок городского типа Рыбная Слобода</t>
  </si>
  <si>
    <t>92650151</t>
  </si>
  <si>
    <t>777</t>
  </si>
  <si>
    <t>Сабинский муниципальный район</t>
  </si>
  <si>
    <t>92652000</t>
  </si>
  <si>
    <t>Арташское</t>
  </si>
  <si>
    <t>92652404</t>
  </si>
  <si>
    <t>778</t>
  </si>
  <si>
    <t>Большекибячинское</t>
  </si>
  <si>
    <t>92652409</t>
  </si>
  <si>
    <t>779</t>
  </si>
  <si>
    <t>Большеныртинское</t>
  </si>
  <si>
    <t>92652417</t>
  </si>
  <si>
    <t>780</t>
  </si>
  <si>
    <t>Большешинарское</t>
  </si>
  <si>
    <t>92652423</t>
  </si>
  <si>
    <t>781</t>
  </si>
  <si>
    <t>Верхнесиметское</t>
  </si>
  <si>
    <t>92652431</t>
  </si>
  <si>
    <t>782</t>
  </si>
  <si>
    <t>Евлаштауское</t>
  </si>
  <si>
    <t>92652432</t>
  </si>
  <si>
    <t>783</t>
  </si>
  <si>
    <t>Изминское</t>
  </si>
  <si>
    <t>92652434</t>
  </si>
  <si>
    <t>784</t>
  </si>
  <si>
    <t>Иштуганское</t>
  </si>
  <si>
    <t>92652436</t>
  </si>
  <si>
    <t>785</t>
  </si>
  <si>
    <t>Кильдебякское</t>
  </si>
  <si>
    <t>92652442</t>
  </si>
  <si>
    <t>786</t>
  </si>
  <si>
    <t>Корсабашское</t>
  </si>
  <si>
    <t>92652430</t>
  </si>
  <si>
    <t>787</t>
  </si>
  <si>
    <t>Мешинское</t>
  </si>
  <si>
    <t>92652452</t>
  </si>
  <si>
    <t>788</t>
  </si>
  <si>
    <t>Мичанское</t>
  </si>
  <si>
    <t>92652454</t>
  </si>
  <si>
    <t>789</t>
  </si>
  <si>
    <t>Нижнешитцинское</t>
  </si>
  <si>
    <t>92652450</t>
  </si>
  <si>
    <t>790</t>
  </si>
  <si>
    <t>791</t>
  </si>
  <si>
    <t>Сатышевское</t>
  </si>
  <si>
    <t>92652462</t>
  </si>
  <si>
    <t>792</t>
  </si>
  <si>
    <t>Староикшурминское</t>
  </si>
  <si>
    <t>92652473</t>
  </si>
  <si>
    <t>793</t>
  </si>
  <si>
    <t>Тимершикское</t>
  </si>
  <si>
    <t>92652481</t>
  </si>
  <si>
    <t>794</t>
  </si>
  <si>
    <t>Шеморданское</t>
  </si>
  <si>
    <t>92652494</t>
  </si>
  <si>
    <t>795</t>
  </si>
  <si>
    <t>Шикшинское</t>
  </si>
  <si>
    <t>92652495</t>
  </si>
  <si>
    <t>796</t>
  </si>
  <si>
    <t>Юлбатское</t>
  </si>
  <si>
    <t>92652498</t>
  </si>
  <si>
    <t>797</t>
  </si>
  <si>
    <t>поселок городского типа Богатые Сабы</t>
  </si>
  <si>
    <t>92652151</t>
  </si>
  <si>
    <t>798</t>
  </si>
  <si>
    <t>Сармановский муниципальный район</t>
  </si>
  <si>
    <t>92653000</t>
  </si>
  <si>
    <t>Азалаковское</t>
  </si>
  <si>
    <t>92653404</t>
  </si>
  <si>
    <t>799</t>
  </si>
  <si>
    <t>92653408</t>
  </si>
  <si>
    <t>800</t>
  </si>
  <si>
    <t>92653409</t>
  </si>
  <si>
    <t>801</t>
  </si>
  <si>
    <t>Большенуркеевское</t>
  </si>
  <si>
    <t>92653412</t>
  </si>
  <si>
    <t>802</t>
  </si>
  <si>
    <t>Верхне-Чершилинское</t>
  </si>
  <si>
    <t>92653415</t>
  </si>
  <si>
    <t>803</t>
  </si>
  <si>
    <t>Иляксазское</t>
  </si>
  <si>
    <t>92653420</t>
  </si>
  <si>
    <t>804</t>
  </si>
  <si>
    <t>Кавзияковское</t>
  </si>
  <si>
    <t>92653424</t>
  </si>
  <si>
    <t>805</t>
  </si>
  <si>
    <t>Карашай-Сакловское</t>
  </si>
  <si>
    <t>92653428</t>
  </si>
  <si>
    <t>806</t>
  </si>
  <si>
    <t>Лешев-Тамакское</t>
  </si>
  <si>
    <t>92653432</t>
  </si>
  <si>
    <t>807</t>
  </si>
  <si>
    <t>Лякинское</t>
  </si>
  <si>
    <t>92653436</t>
  </si>
  <si>
    <t>808</t>
  </si>
  <si>
    <t>Муртыш-Тамакское</t>
  </si>
  <si>
    <t>92653440</t>
  </si>
  <si>
    <t>809</t>
  </si>
  <si>
    <t>Новоимянское</t>
  </si>
  <si>
    <t>92653444</t>
  </si>
  <si>
    <t>810</t>
  </si>
  <si>
    <t>Петровско-Заводское</t>
  </si>
  <si>
    <t>92653448</t>
  </si>
  <si>
    <t>811</t>
  </si>
  <si>
    <t>Рангазарское</t>
  </si>
  <si>
    <t>92653452</t>
  </si>
  <si>
    <t>812</t>
  </si>
  <si>
    <t>Саклов-Башское</t>
  </si>
  <si>
    <t>92653456</t>
  </si>
  <si>
    <t>813</t>
  </si>
  <si>
    <t>814</t>
  </si>
  <si>
    <t>Сармановское</t>
  </si>
  <si>
    <t>92653460</t>
  </si>
  <si>
    <t>815</t>
  </si>
  <si>
    <t>Старо-Имянское</t>
  </si>
  <si>
    <t>92653470</t>
  </si>
  <si>
    <t>816</t>
  </si>
  <si>
    <t>Старокаширское</t>
  </si>
  <si>
    <t>92653468</t>
  </si>
  <si>
    <t>817</t>
  </si>
  <si>
    <t>Старомензелябашское</t>
  </si>
  <si>
    <t>92653472</t>
  </si>
  <si>
    <t>818</t>
  </si>
  <si>
    <t>Чукмарлинское</t>
  </si>
  <si>
    <t>92653480</t>
  </si>
  <si>
    <t>819</t>
  </si>
  <si>
    <t>Шарлиареминское</t>
  </si>
  <si>
    <t>92653482</t>
  </si>
  <si>
    <t>820</t>
  </si>
  <si>
    <t>Янурусовское</t>
  </si>
  <si>
    <t>92653484</t>
  </si>
  <si>
    <t>821</t>
  </si>
  <si>
    <t>поселок городского типа Джалиль</t>
  </si>
  <si>
    <t>92653155</t>
  </si>
  <si>
    <t>822</t>
  </si>
  <si>
    <t>Спасский муниципальный район</t>
  </si>
  <si>
    <t>92632000</t>
  </si>
  <si>
    <t>Аграмаковское</t>
  </si>
  <si>
    <t>92632405</t>
  </si>
  <si>
    <t>823</t>
  </si>
  <si>
    <t>Антоновское</t>
  </si>
  <si>
    <t>92632410</t>
  </si>
  <si>
    <t>824</t>
  </si>
  <si>
    <t>Бураковское</t>
  </si>
  <si>
    <t>92632415</t>
  </si>
  <si>
    <t>825</t>
  </si>
  <si>
    <t>Город Болгар</t>
  </si>
  <si>
    <t>92632101</t>
  </si>
  <si>
    <t>826</t>
  </si>
  <si>
    <t>Измерское</t>
  </si>
  <si>
    <t>92632420</t>
  </si>
  <si>
    <t>827</t>
  </si>
  <si>
    <t>Иске-Рязапское</t>
  </si>
  <si>
    <t>92632425</t>
  </si>
  <si>
    <t>828</t>
  </si>
  <si>
    <t>Кимовское</t>
  </si>
  <si>
    <t>92632430</t>
  </si>
  <si>
    <t>829</t>
  </si>
  <si>
    <t>Краснослободское</t>
  </si>
  <si>
    <t>92632435</t>
  </si>
  <si>
    <t>830</t>
  </si>
  <si>
    <t>Кузнечихинское</t>
  </si>
  <si>
    <t>92632440</t>
  </si>
  <si>
    <t>831</t>
  </si>
  <si>
    <t>92632445</t>
  </si>
  <si>
    <t>832</t>
  </si>
  <si>
    <t>92632450</t>
  </si>
  <si>
    <t>833</t>
  </si>
  <si>
    <t>92632460</t>
  </si>
  <si>
    <t>834</t>
  </si>
  <si>
    <t>Приволжское</t>
  </si>
  <si>
    <t>92632462</t>
  </si>
  <si>
    <t>835</t>
  </si>
  <si>
    <t>836</t>
  </si>
  <si>
    <t>Среднеюрткульское</t>
  </si>
  <si>
    <t>92632465</t>
  </si>
  <si>
    <t>837</t>
  </si>
  <si>
    <t>Трехозерское</t>
  </si>
  <si>
    <t>92632470</t>
  </si>
  <si>
    <t>838</t>
  </si>
  <si>
    <t>Чэчэклинское</t>
  </si>
  <si>
    <t>92632455</t>
  </si>
  <si>
    <t>839</t>
  </si>
  <si>
    <t>Ямбухтинское</t>
  </si>
  <si>
    <t>92632475</t>
  </si>
  <si>
    <t>840</t>
  </si>
  <si>
    <t>Тетюшский муниципальный район</t>
  </si>
  <si>
    <t>92655000</t>
  </si>
  <si>
    <t>Алабердинское</t>
  </si>
  <si>
    <t>92655403</t>
  </si>
  <si>
    <t>841</t>
  </si>
  <si>
    <t>Байрашевское</t>
  </si>
  <si>
    <t>92655408</t>
  </si>
  <si>
    <t>842</t>
  </si>
  <si>
    <t>92655412</t>
  </si>
  <si>
    <t>843</t>
  </si>
  <si>
    <t>Беденьгинское</t>
  </si>
  <si>
    <t>92655416</t>
  </si>
  <si>
    <t>844</t>
  </si>
  <si>
    <t>Бессоновское</t>
  </si>
  <si>
    <t>92655417</t>
  </si>
  <si>
    <t>845</t>
  </si>
  <si>
    <t>Большеатрясское</t>
  </si>
  <si>
    <t>92655420</t>
  </si>
  <si>
    <t>846</t>
  </si>
  <si>
    <t>Большетарханское</t>
  </si>
  <si>
    <t>92655424</t>
  </si>
  <si>
    <t>847</t>
  </si>
  <si>
    <t>Большетурминское</t>
  </si>
  <si>
    <t>92655428</t>
  </si>
  <si>
    <t>848</t>
  </si>
  <si>
    <t>Большешемякинское</t>
  </si>
  <si>
    <t>92655432</t>
  </si>
  <si>
    <t>849</t>
  </si>
  <si>
    <t>Город Тетюши</t>
  </si>
  <si>
    <t>92655101</t>
  </si>
  <si>
    <t>850</t>
  </si>
  <si>
    <t>Жуковское</t>
  </si>
  <si>
    <t>92655436</t>
  </si>
  <si>
    <t>851</t>
  </si>
  <si>
    <t>Кильдюшевское</t>
  </si>
  <si>
    <t>92655438</t>
  </si>
  <si>
    <t>852</t>
  </si>
  <si>
    <t>Киртелинское</t>
  </si>
  <si>
    <t>92655440</t>
  </si>
  <si>
    <t>853</t>
  </si>
  <si>
    <t>Кляшевское</t>
  </si>
  <si>
    <t>92655444</t>
  </si>
  <si>
    <t>854</t>
  </si>
  <si>
    <t>Кошки-Новотимбаевское</t>
  </si>
  <si>
    <t>92655448</t>
  </si>
  <si>
    <t>855</t>
  </si>
  <si>
    <t>Льяшевское</t>
  </si>
  <si>
    <t>92655456</t>
  </si>
  <si>
    <t>856</t>
  </si>
  <si>
    <t>Монастырское</t>
  </si>
  <si>
    <t>92655464</t>
  </si>
  <si>
    <t>857</t>
  </si>
  <si>
    <t>92655468</t>
  </si>
  <si>
    <t>858</t>
  </si>
  <si>
    <t>Сюндюковское</t>
  </si>
  <si>
    <t>92655476</t>
  </si>
  <si>
    <t>859</t>
  </si>
  <si>
    <t>860</t>
  </si>
  <si>
    <t>Урюмское</t>
  </si>
  <si>
    <t>92655480</t>
  </si>
  <si>
    <t>861</t>
  </si>
  <si>
    <t>92655484</t>
  </si>
  <si>
    <t>862</t>
  </si>
  <si>
    <t>Тукаевский муниципальный район</t>
  </si>
  <si>
    <t>92657000</t>
  </si>
  <si>
    <t>Азьмушкинское</t>
  </si>
  <si>
    <t>92657405</t>
  </si>
  <si>
    <t>863</t>
  </si>
  <si>
    <t>Бетькинское</t>
  </si>
  <si>
    <t>92657410</t>
  </si>
  <si>
    <t>864</t>
  </si>
  <si>
    <t>Биклянское</t>
  </si>
  <si>
    <t>92657415</t>
  </si>
  <si>
    <t>865</t>
  </si>
  <si>
    <t>Биюрганское</t>
  </si>
  <si>
    <t>92657426</t>
  </si>
  <si>
    <t>866</t>
  </si>
  <si>
    <t>Бурдинское</t>
  </si>
  <si>
    <t>92657425</t>
  </si>
  <si>
    <t>867</t>
  </si>
  <si>
    <t>Иштеряковское</t>
  </si>
  <si>
    <t>92657428</t>
  </si>
  <si>
    <t>868</t>
  </si>
  <si>
    <t>Калмашское</t>
  </si>
  <si>
    <t>92657430</t>
  </si>
  <si>
    <t>869</t>
  </si>
  <si>
    <t>Калмиинское</t>
  </si>
  <si>
    <t>92657431</t>
  </si>
  <si>
    <t>870</t>
  </si>
  <si>
    <t>Князевское</t>
  </si>
  <si>
    <t>92657435</t>
  </si>
  <si>
    <t>871</t>
  </si>
  <si>
    <t>Комсомольское</t>
  </si>
  <si>
    <t>92657437</t>
  </si>
  <si>
    <t>872</t>
  </si>
  <si>
    <t>Круглопольское</t>
  </si>
  <si>
    <t>92657433</t>
  </si>
  <si>
    <t>873</t>
  </si>
  <si>
    <t>Кузкеевское</t>
  </si>
  <si>
    <t>92657438</t>
  </si>
  <si>
    <t>874</t>
  </si>
  <si>
    <t>Малошильнинское</t>
  </si>
  <si>
    <t>92657439</t>
  </si>
  <si>
    <t>875</t>
  </si>
  <si>
    <t>Мелекесское</t>
  </si>
  <si>
    <t>92657440</t>
  </si>
  <si>
    <t>876</t>
  </si>
  <si>
    <t>Мусабай-Заводское</t>
  </si>
  <si>
    <t>92657445</t>
  </si>
  <si>
    <t>877</t>
  </si>
  <si>
    <t>Нижнесуыксинское</t>
  </si>
  <si>
    <t>92657450</t>
  </si>
  <si>
    <t>878</t>
  </si>
  <si>
    <t>92657455</t>
  </si>
  <si>
    <t>879</t>
  </si>
  <si>
    <t>Семекеевское</t>
  </si>
  <si>
    <t>92657465</t>
  </si>
  <si>
    <t>880</t>
  </si>
  <si>
    <t>Староабдуловское</t>
  </si>
  <si>
    <t>92657469</t>
  </si>
  <si>
    <t>881</t>
  </si>
  <si>
    <t>Стародрюшское</t>
  </si>
  <si>
    <t>92657471</t>
  </si>
  <si>
    <t>882</t>
  </si>
  <si>
    <t>Тлянче-Тамакское</t>
  </si>
  <si>
    <t>92657474</t>
  </si>
  <si>
    <t>883</t>
  </si>
  <si>
    <t>884</t>
  </si>
  <si>
    <t>Шильнебашское</t>
  </si>
  <si>
    <t>92657483</t>
  </si>
  <si>
    <t>885</t>
  </si>
  <si>
    <t>Яна-Булякское</t>
  </si>
  <si>
    <t>92657492</t>
  </si>
  <si>
    <t>886</t>
  </si>
  <si>
    <t>Тюлячинский муниципальный район</t>
  </si>
  <si>
    <t>92656000</t>
  </si>
  <si>
    <t>Абдинское</t>
  </si>
  <si>
    <t>92656403</t>
  </si>
  <si>
    <t>887</t>
  </si>
  <si>
    <t>Айдаровское</t>
  </si>
  <si>
    <t>92656404</t>
  </si>
  <si>
    <t>888</t>
  </si>
  <si>
    <t>Аланское</t>
  </si>
  <si>
    <t>92656405</t>
  </si>
  <si>
    <t>889</t>
  </si>
  <si>
    <t>Баландышское</t>
  </si>
  <si>
    <t>92656410</t>
  </si>
  <si>
    <t>890</t>
  </si>
  <si>
    <t>Большеметескинское</t>
  </si>
  <si>
    <t>92656413</t>
  </si>
  <si>
    <t>891</t>
  </si>
  <si>
    <t>Большемешское</t>
  </si>
  <si>
    <t>92656415</t>
  </si>
  <si>
    <t>892</t>
  </si>
  <si>
    <t>Большенырсинское</t>
  </si>
  <si>
    <t>92656418</t>
  </si>
  <si>
    <t>893</t>
  </si>
  <si>
    <t>Верхнекибякозинское</t>
  </si>
  <si>
    <t>92656425</t>
  </si>
  <si>
    <t>894</t>
  </si>
  <si>
    <t>Малокибякозинское</t>
  </si>
  <si>
    <t>92656435</t>
  </si>
  <si>
    <t>895</t>
  </si>
  <si>
    <t>Старозюринское</t>
  </si>
  <si>
    <t>92656440</t>
  </si>
  <si>
    <t>896</t>
  </si>
  <si>
    <t>897</t>
  </si>
  <si>
    <t>Тюлячинское</t>
  </si>
  <si>
    <t>92656445</t>
  </si>
  <si>
    <t>898</t>
  </si>
  <si>
    <t>Узякское</t>
  </si>
  <si>
    <t>92656450</t>
  </si>
  <si>
    <t>899</t>
  </si>
  <si>
    <t>Шадкинское</t>
  </si>
  <si>
    <t>92656455</t>
  </si>
  <si>
    <t>900</t>
  </si>
  <si>
    <t>Черемшанский муниципальный район</t>
  </si>
  <si>
    <t>92658000</t>
  </si>
  <si>
    <t>Беркет-Ключевское</t>
  </si>
  <si>
    <t>92658405</t>
  </si>
  <si>
    <t>901</t>
  </si>
  <si>
    <t>Верхнекаменское</t>
  </si>
  <si>
    <t>92658410</t>
  </si>
  <si>
    <t>902</t>
  </si>
  <si>
    <t>Ивашкинское</t>
  </si>
  <si>
    <t>92658415</t>
  </si>
  <si>
    <t>903</t>
  </si>
  <si>
    <t>Карамышевское</t>
  </si>
  <si>
    <t>92658420</t>
  </si>
  <si>
    <t>904</t>
  </si>
  <si>
    <t>Кутеминское</t>
  </si>
  <si>
    <t>92658422</t>
  </si>
  <si>
    <t>905</t>
  </si>
  <si>
    <t>Лашманское</t>
  </si>
  <si>
    <t>92658430</t>
  </si>
  <si>
    <t>906</t>
  </si>
  <si>
    <t>Мордовско-Афонькинское</t>
  </si>
  <si>
    <t>92658435</t>
  </si>
  <si>
    <t>907</t>
  </si>
  <si>
    <t>Нижнекаменское</t>
  </si>
  <si>
    <t>92658438</t>
  </si>
  <si>
    <t>908</t>
  </si>
  <si>
    <t>Нижнекармалкинское</t>
  </si>
  <si>
    <t>92658440</t>
  </si>
  <si>
    <t>909</t>
  </si>
  <si>
    <t>92658445</t>
  </si>
  <si>
    <t>910</t>
  </si>
  <si>
    <t>Новокадеевское</t>
  </si>
  <si>
    <t>92658450</t>
  </si>
  <si>
    <t>911</t>
  </si>
  <si>
    <t>Старокадеевское</t>
  </si>
  <si>
    <t>92658455</t>
  </si>
  <si>
    <t>912</t>
  </si>
  <si>
    <t>Старокутушское</t>
  </si>
  <si>
    <t>92658425</t>
  </si>
  <si>
    <t>913</t>
  </si>
  <si>
    <t>Староутямышское</t>
  </si>
  <si>
    <t>92658460</t>
  </si>
  <si>
    <t>914</t>
  </si>
  <si>
    <t>Туйметкинское</t>
  </si>
  <si>
    <t>92658462</t>
  </si>
  <si>
    <t>915</t>
  </si>
  <si>
    <t>Ульяновское</t>
  </si>
  <si>
    <t>92658465</t>
  </si>
  <si>
    <t>916</t>
  </si>
  <si>
    <t>917</t>
  </si>
  <si>
    <t>92658470</t>
  </si>
  <si>
    <t>918</t>
  </si>
  <si>
    <t>Шешминское</t>
  </si>
  <si>
    <t>92658475</t>
  </si>
  <si>
    <t>919</t>
  </si>
  <si>
    <t>Чистопольский муниципальный район</t>
  </si>
  <si>
    <t>92659000</t>
  </si>
  <si>
    <t>Адельшинское</t>
  </si>
  <si>
    <t>92659403</t>
  </si>
  <si>
    <t>920</t>
  </si>
  <si>
    <t>Большетолкишское</t>
  </si>
  <si>
    <t>92659409</t>
  </si>
  <si>
    <t>921</t>
  </si>
  <si>
    <t>Булдырское</t>
  </si>
  <si>
    <t>92659412</t>
  </si>
  <si>
    <t>922</t>
  </si>
  <si>
    <t>Верхнекондратинское</t>
  </si>
  <si>
    <t>92659414</t>
  </si>
  <si>
    <t>923</t>
  </si>
  <si>
    <t>Город Чистополь</t>
  </si>
  <si>
    <t>92659101</t>
  </si>
  <si>
    <t>924</t>
  </si>
  <si>
    <t>Данауровское</t>
  </si>
  <si>
    <t>92659418</t>
  </si>
  <si>
    <t>925</t>
  </si>
  <si>
    <t>Исляйкинское</t>
  </si>
  <si>
    <t>92659423</t>
  </si>
  <si>
    <t>926</t>
  </si>
  <si>
    <t>Каргалинское</t>
  </si>
  <si>
    <t>92659430</t>
  </si>
  <si>
    <t>927</t>
  </si>
  <si>
    <t>Кубасское</t>
  </si>
  <si>
    <t>92659438</t>
  </si>
  <si>
    <t>928</t>
  </si>
  <si>
    <t>Кутлушкинское</t>
  </si>
  <si>
    <t>92659441</t>
  </si>
  <si>
    <t>929</t>
  </si>
  <si>
    <t>Малотолкишское</t>
  </si>
  <si>
    <t>92659447</t>
  </si>
  <si>
    <t>930</t>
  </si>
  <si>
    <t>Муслюмкинское</t>
  </si>
  <si>
    <t>92659450</t>
  </si>
  <si>
    <t>931</t>
  </si>
  <si>
    <t>Нарат-Елгинское</t>
  </si>
  <si>
    <t>92659453</t>
  </si>
  <si>
    <t>932</t>
  </si>
  <si>
    <t>Нижнекондратинское</t>
  </si>
  <si>
    <t>92659455</t>
  </si>
  <si>
    <t>933</t>
  </si>
  <si>
    <t>Совхозно-Галактионовское</t>
  </si>
  <si>
    <t>92659462</t>
  </si>
  <si>
    <t>934</t>
  </si>
  <si>
    <t>Староромашкинское</t>
  </si>
  <si>
    <t>92659468</t>
  </si>
  <si>
    <t>935</t>
  </si>
  <si>
    <t>Татарско-Баганинское</t>
  </si>
  <si>
    <t>92659471</t>
  </si>
  <si>
    <t>936</t>
  </si>
  <si>
    <t>Татарско-Елтанское</t>
  </si>
  <si>
    <t>92659474</t>
  </si>
  <si>
    <t>937</t>
  </si>
  <si>
    <t>Татарско-Сарсазское</t>
  </si>
  <si>
    <t>92659475</t>
  </si>
  <si>
    <t>938</t>
  </si>
  <si>
    <t>Татарско-Толкишское</t>
  </si>
  <si>
    <t>92659477</t>
  </si>
  <si>
    <t>939</t>
  </si>
  <si>
    <t>Четырчинское</t>
  </si>
  <si>
    <t>92659486</t>
  </si>
  <si>
    <t>940</t>
  </si>
  <si>
    <t>941</t>
  </si>
  <si>
    <t>Чистопольско-Высельское</t>
  </si>
  <si>
    <t>92659492</t>
  </si>
  <si>
    <t>942</t>
  </si>
  <si>
    <t>Чистопольское</t>
  </si>
  <si>
    <t>92659489</t>
  </si>
  <si>
    <t>943</t>
  </si>
  <si>
    <t>Чувашско-Елтанское</t>
  </si>
  <si>
    <t>92659495</t>
  </si>
  <si>
    <t>944</t>
  </si>
  <si>
    <t>Ютазинский муниципальный район</t>
  </si>
  <si>
    <t>92654000</t>
  </si>
  <si>
    <t>Абсалямовское</t>
  </si>
  <si>
    <t>92654401</t>
  </si>
  <si>
    <t>945</t>
  </si>
  <si>
    <t>92654402</t>
  </si>
  <si>
    <t>946</t>
  </si>
  <si>
    <t>Байряки-Тамакское</t>
  </si>
  <si>
    <t>92654408</t>
  </si>
  <si>
    <t>947</t>
  </si>
  <si>
    <t>Байрякинское</t>
  </si>
  <si>
    <t>92654405</t>
  </si>
  <si>
    <t>948</t>
  </si>
  <si>
    <t>Дым-Тамакское</t>
  </si>
  <si>
    <t>92654412</t>
  </si>
  <si>
    <t>949</t>
  </si>
  <si>
    <t>Каракашлинское</t>
  </si>
  <si>
    <t>92654420</t>
  </si>
  <si>
    <t>950</t>
  </si>
  <si>
    <t>Старокаразерикское</t>
  </si>
  <si>
    <t>92654435</t>
  </si>
  <si>
    <t>951</t>
  </si>
  <si>
    <t>Ташкичуйское</t>
  </si>
  <si>
    <t>92654440</t>
  </si>
  <si>
    <t>952</t>
  </si>
  <si>
    <t>Уруссинское</t>
  </si>
  <si>
    <t>92654445</t>
  </si>
  <si>
    <t>953</t>
  </si>
  <si>
    <t>954</t>
  </si>
  <si>
    <t>Ютазинское</t>
  </si>
  <si>
    <t>92654455</t>
  </si>
  <si>
    <t>955</t>
  </si>
  <si>
    <t>поселок городского типа Уруссу</t>
  </si>
  <si>
    <t>92654151</t>
  </si>
  <si>
    <t>956</t>
  </si>
  <si>
    <t>NUMBER_POINT</t>
  </si>
  <si>
    <t>INVP_NAME</t>
  </si>
  <si>
    <t>INVP_ID</t>
  </si>
  <si>
    <t>L_START_DATE</t>
  </si>
  <si>
    <t>L_END_DATE</t>
  </si>
  <si>
    <t>L_DECISION_NAME</t>
  </si>
  <si>
    <t>L_DECISION_TYPE</t>
  </si>
  <si>
    <t>L_DECISION_NMBR</t>
  </si>
  <si>
    <t>L_DECISION_DATE</t>
  </si>
  <si>
    <t>Инвестиционная программа № 143/о от 15.09.2021 в сфере теплоснабжения по строительству и обеспечению необходимого уровня мощностей для достижения целевых показателей развития систем теплоснабжения, на территории муниципального района Верхнеуслонский на 2021-2022 годы</t>
  </si>
  <si>
    <t>15.09.2021</t>
  </si>
  <si>
    <t>31.12.2022</t>
  </si>
  <si>
    <t>Инвестиционная программа № 18/2023 от 17.02.2023 АО "РПО "Таткоммунэнерго" в сфере теплоснабжения по модернизации и реконструкции централизованных систем теплоснабжения на 2024 год</t>
  </si>
  <si>
    <t>01.01.2024</t>
  </si>
  <si>
    <t>31.12.2024</t>
  </si>
  <si>
    <t>Инвестиционная программа № 436/2020 от 30.10.2020 в сфере теплоснабжения по реконструкции и модернизации существующих объектов систем теплоснабжения, на территории городского поселения Город Бавлы, Бавлинский муниципальный район на 2021-2023 годы</t>
  </si>
  <si>
    <t>01.01.2021</t>
  </si>
  <si>
    <t>31.12.2023</t>
  </si>
  <si>
    <t>Инвестиционная программа № 447/2021 от 19.07.2021 АО "Зеленодольское ПТС" в сфере теплоснабжения по строительству, реконструкции и модернизации котельных и тепловых сетей, на территории муниципального района Зеленодольский на 2022 год</t>
  </si>
  <si>
    <t>01.01.2022</t>
  </si>
  <si>
    <t>Инвестиционная программа № 448/2021 от 19.07.2021 АО "Азнакаевское ПТС" в сфере теплоснабжения по модернизации котельной, на территории городского поселения поселок городского типа Актюбинский, Азнакаевский муниципальный район на 2022 год</t>
  </si>
  <si>
    <t>Инвестиционная программа № 470/2020 от 20.11.2020 АО "Татэнерго" в сфере теплоснабжения по модернизации и реконструкции систем инженерной инфраструктуры на 2021-2023 годы</t>
  </si>
  <si>
    <t>Инвестиционная программа № 494/2021 от 03.09.2021 ОАО "Чистопольское предприятие тепловых сетей" в сфере теплоснабжения по реконструкции котельных и тепловых сетей, на территории городского поселения Город Чистополь, Чистопольский муниципальный район на 2022-2023 годы</t>
  </si>
  <si>
    <t>Инвестиционная программа № 602/202-1 АО "ОЭЗ "Иннополис" от 28.10.2021 в сфере теплоснабжения по реконструкции, модернизации и развитию котельных и тепловых сетей, на территории городского поселения город Иннополис, Верхнеуслонский муниципальный район на 2022-2023 годы</t>
  </si>
  <si>
    <t>01.01.2023</t>
  </si>
  <si>
    <t>Инвестиционная программа № 602/202-1 от 28.10.2021 АО "ОЭЗ "Иннополис" в сфере теплоснабжения по строительству, реконструкции и модернизации котельных и тепловых сетей, на территории городского поселения город Иннополис, Верхнеуслонский муниципальный район на 2022-2024 годы</t>
  </si>
  <si>
    <t>Инвестиционная программа № 602/202-1 от 28.10.2021 в сфере теплоснабжения по развитию, модернизации и реконструкции котельных и тепловых сетей, на территории городского поселения город Иннополис, Верхнеуслонский муниципальный район на 2022 год</t>
  </si>
  <si>
    <t>Инвестиционная программа № 603/2021 от 28.10.2021 АО "Коммунальные сети Мензелинского района" в сфере теплоснабжения по реконструкции и модернизации существующих объектов централизованных систем теплоснабжения, на территории городского поселения Город Мензелинск, Мензелинский муниципальный район на 2022-2023 годы</t>
  </si>
  <si>
    <t>Инвестиционная программа № 603/2021 от 28.10.2021 АО "Коммунальные сети Мензелинского района" в сфере теплоснабжения по реконструкции котельных и тепловых сетей, на территории муниципального района Мензелинский на 2022 год</t>
  </si>
  <si>
    <t>Инвестиционная программа № 604/2021 от 28.10.2021 АО "Нурлатские тепловые сети" в сфере теплоснабжения по реконструкции тепловых сетей и сетей ГВС, на территории городского поселения Город Нурлат, Нурлатский муниципальный район на 2022-2024 годы</t>
  </si>
  <si>
    <t>Инвестиционная программа № 612/2022 от 09.09.2022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поселения Город Зеленодольск, Зеленодольский муниципальный район на 2023 год</t>
  </si>
  <si>
    <t>Инвестиционная программа № 729/2022 от 17.10.2022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Город Елабуга, Елабужский муниципальный район на 2023-2025 годы</t>
  </si>
  <si>
    <t>31.12.2025</t>
  </si>
  <si>
    <t>Инвестиционная программа № 742/2022 от 21.10.2022 в сфере теплоснабжения по реконструкции и модернизации существующих объектов тепловых сетей, на территории городского поселения Город Альметьевск, Альметьевский муниципальный район на 2023 год</t>
  </si>
  <si>
    <t>Инвестиционная программа № 756/2022 от 27.10.2022 в сфере теплоснабжения по реконструкции и модернизации существующих объектов систем теплоснабжения, на территории городского поселения Город Тетюши, Тетюшский муниципальный район на 2023-2024 годы</t>
  </si>
  <si>
    <t>Инвестиционная программа № 779/2022 от 27.10.2022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Казань на 2023 год</t>
  </si>
  <si>
    <t>Инвестиционная программа № 780/2022 от 27.10.2022 в сфере теплоснабжения по реконструкции тепловых сетей, на территории городского поселения поселок городского типа Джалиль, Сармановский муниципальный район на 2023 год</t>
  </si>
  <si>
    <t>Инвестиционная программа № 781/2022 от 27.10.2022 в сфере теплоснабжения по реконструкции и модернизации существующих объектов систем теплоснабжения, на территории городского поселения Город Буинск, Буинский муниципальный район на 2023-2025 годы</t>
  </si>
  <si>
    <t>Инвестиционная программа № 789/2022 от 27.10.2022 в сфере теплоснабжения по реконструкции и техническому перевооружению систем теплоснабжения, на территории городского поселения Город Чистополь, Чистопольский муниципальный район на 2023 год</t>
  </si>
  <si>
    <t>Инвестиционная программа № 789/2022 от 27.10.2022 в сфере теплоснабжения по реконструкции и техническому перевооружению централизованных систем теплоснабжения, на территории городского поселения Город Чистополь, Чистопольский муниципальный район на 2023-2025 годы</t>
  </si>
  <si>
    <t>Инвестиционная программа № 791/2022 от 28.10.2022 в сфере теплоснабжения по реконструкции и модернизации существующих объектов систем теплоснабжения, на территории городского поселения Город Агрыз, Агрызский муниципальный район на 2023 год</t>
  </si>
  <si>
    <t>Инвестиционная программа № 791/2022 от 28.10.2022 в сфере теплоснабжения по реконструкции и модернизации существующих объектов централизованных систем теплоснабжения, на территории городского поселения Город Агрыз, Агрызский муниципальный район на 2023-2025 годы</t>
  </si>
  <si>
    <t>Инвестиционная программа № 792/2022 от 28.10.2022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Казань на 2023-2027 годы</t>
  </si>
  <si>
    <t>31.12.2027</t>
  </si>
  <si>
    <t>Инвестиционная программа № 792/2024 от 26.09.2024 ООО "Нижнекамская ТЭЦ" в сфере теплоснабжения по модернизации и реконструкции систем теплоснабжения, на территории городского поселения Город Нижнекамск, Нижнекамский муниципальный район на 2025 год</t>
  </si>
  <si>
    <t>01.01.2025</t>
  </si>
  <si>
    <t>Инвестиционная программа № 836/2023 от 27.10.2023 ООО "Альтехносервис" в сфере теплоснабжения по модернизации и реконструкции котельных и тепловых сетей, на территории городского поселения Город Альметьевск, Альметьевский муниципальный район на 2024-2026 годы</t>
  </si>
  <si>
    <t>31.12.2026</t>
  </si>
  <si>
    <t>Инвестиционная программа № 837/2023 от 27.10.2023 ООО "ГазТеплоАвтоматика" в сфере теплоснабжения по модернизации и реконструкции котельных и тепловых сетей, на территории городского поселения Город Елабуга, Елабужский муниципальный район на 2024-2026 годы</t>
  </si>
  <si>
    <t>Инвестиционная программа № 838/2023 от 27.10.2023 АО "Бугульминское предприятие тепловых сетей" в сфере теплоснабжения по модернизации и реконструкции тепловых сетей, на территории городского поселения Город Бугульма, Бугульминский муниципальный район на 2024 год</t>
  </si>
  <si>
    <t>Инвестиционная программа № 839/2023 от 27.10.2023 ОАО "Чистопольское предприятие тепловых сетей" в сфере теплоснабжения по модернизации и реконструкции котельных и тепловых сетей, на территории городского поселения Город Чистополь, Чистопольский муниципальный район на 2024 год</t>
  </si>
  <si>
    <t>Инвестиционная программа № 840/2023 от 27.10.2023 АО "Зеленодольское ПТС" в сфере теплоснабжения по реконструкции и модернизации систем теплоснабжения, на территории городского поселения Город Зеленодольск, Зеленодольский муниципальный район на 2024 год</t>
  </si>
  <si>
    <t>Инвестиционная программа № 841/2023 от 27.10.2023 АО "Елабужское предприятие тепловых сетей" в сфере теплоснабжения по модернизации и реконструкции магистральных сетей, на территории городского поселения Город Елабуга, Елабужский муниципальный район на 2024-2025 годы</t>
  </si>
  <si>
    <t>Инвестиционная программа № 842/2023 от 27.10.2023 АО "АПТС" в сфере теплоснабжения по модернизации, развитию и техническому перевооружению систем теплоснабжения, на территории городского поселения Город Альметьевск, Альметьевский муниципальный район на 2024 год</t>
  </si>
  <si>
    <t>Инвестиционная программа № 843/2023 от 27.10.2023 АО "Азнакаевское ПТС" в сфере теплоснабжения по модернизации и реконструкции тепловых сетей, на территории городского поселения Город Азнакаево, Азнакаевский муниципальный район на 2024 год</t>
  </si>
  <si>
    <t>Инвестиционная программа № 844/2023 от 27.10.2023 АО "Коммунальные сети Мензелинского района" в сфере теплоснабжения по модернизации и реконструкции систем теплоснабжения от котельных и тепловых сетей, на территории муниципального района Мензелинский на 2024 год</t>
  </si>
  <si>
    <t>Инвестиционная программа № 845/2023 от 27.10.2023 ООО "Нижнекамская ТЭЦ" в сфере теплоснабжения по модернизации и реконструкции систем теплоснабжения, на территории городского поселения Город Нижнекамск, Нижнекамский муниципальный район на 2024 год</t>
  </si>
  <si>
    <t>Инвестиционная программа № 846/2023 от 27.10.2023 в сфере теплоснабжения по реконструкции и модернизации объектов, на территории муниципального района Нижнекамский на 2024-2025 годы</t>
  </si>
  <si>
    <t>Инвестиционная программа № 847/2023 от 27.10.2023 в сфере теплоснабжения по развитию, модернизации и реконструкции систем теплоснабжения, на территории городского поселения Город Бавлы, Бавлинский муниципальный район на 2024 год</t>
  </si>
  <si>
    <t>Инвестиционная программа № 848/2023 от 27.10.2023 в сфере теплоснабжения по реконструкции и модернизации объектов, на территории городского округа Казань на 2024-2025 годы</t>
  </si>
  <si>
    <t>Инвестиционная программа № 849/2023 от 27.10.2023 в сфере теплоснабжения по развитию, реконструкции и модернизации систем теплоснабжения, на территории городского поселения Город Менделеевск, Менделеевский муниципальный район на 2024 год</t>
  </si>
  <si>
    <t>Инвестиционная программа № 850/2023 от 27.10.2023 АО "Водопроводно-канализационное и энергетическое хозяйство" в сфере теплоснабжения по реконструкции и модернизации тепловых сетей, на территории городского поселения Город Нижнекамск, Нижнекамский муниципальный район на 2024-2026 годы</t>
  </si>
  <si>
    <t>Инвестиционная программа № 851/2023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поселения Город Заинск, Заинский муниципальный район на 2024-2028 годы</t>
  </si>
  <si>
    <t>31.12.2028</t>
  </si>
  <si>
    <t>Инвестиционная программа № 852/2023 от 27.10.2023 АО "Татэнерго" в сфере горячего водоснабжения по модернизации, реконструкции и техническому перевооружению систем коммунальной инфраструктуры, на территории городского округа Набережные Челны на 2024-2028 годы</t>
  </si>
  <si>
    <t>Инвестиционная программа № 853/2023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округа Казань на 2024-2028 годы</t>
  </si>
  <si>
    <t>Инвестиционная программа № 854/2023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поселения Город Нижнекамск, Нижнекамский муниципальный район на 2024-2028 годы</t>
  </si>
  <si>
    <t>Инвестиционная программа № 854/2024 от 30.10.2024 АО "АПТС" в сфере теплоснабжения по модернизации, реконструкции и техническому перевооружению тепловых сетей и системы централизованного теплоснабжения, на территории городского поселения Город Альметьевск, Альметьевский муниципальный район на 2025 год</t>
  </si>
  <si>
    <t>Инвестиционная программа № 854/2025 от 30.10.2024 АО "АПТС" в сфере теплоснабжения по модернизации, реконструкции и техническому перевооружению тепловых сетей и системы централизованного теплоснабжения, на территории городского поселения Город Альметьевск, Альметьевский муниципальный район на 2025 год</t>
  </si>
  <si>
    <t>Инвестиционная программа № 855/2024 от 30.10.2024 ОАО "Чистопольское предприятие тепловых сетей" в сфере теплоснабжения по модернизации и реконструкции тепловых сетей и системы централизованного теплоснабжения, на территории городского поселения Город Чистополь, Чистопольский муниципальный район на 2025 год</t>
  </si>
  <si>
    <t>Инвестиционная программа № 856/2024 от 30.10.2024 АО "Бугульминское предприятие тепловых сетей" в сфере теплоснабжения по реконструкции тепловых сетей, на территории городского поселения Город Бугульма, Бугульминский муниципальный район на 2025-2027 годы</t>
  </si>
  <si>
    <t>Инвестиционная программа № 857/2024 от 30.10.2024 ООО "РСК" в сфере теплоснабжения по реконструкции тепловых сетей, на территории городского округа Казань на 2025-2027 годы</t>
  </si>
  <si>
    <t>Инвестиционная программа № 858/2024 от 30.10.2024 АО "Зеленодольское ПТС" в сфере теплоснабжения по модернизации и реконструкции тепловых сетей и системы централизованного теплоснабжения, на территории городского поселения Город Зеленодольск, Зеленодольский муниципальный район на 2025 год</t>
  </si>
  <si>
    <t>Инвестиционная программа № 858/2024 от 30.10.2024 АО "Зеленодольское ПТС" в сфере теплоснабжения по модернизации и реконструкции тепловых сетей и системы централизованного теплоснабжения, на территории муниципального района Зеленодольский на 2025 год</t>
  </si>
  <si>
    <t>Инвестиционная программа № 859/2024 от 30.10.2024 АО "Казэнерго"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Казань на 2025 год</t>
  </si>
  <si>
    <t>Инвестиционная программа № 866/2023 от 30.10.2023 АО "Казэнерго" в сфере теплоснабжения по развитию, модернизации и реконструкции тепловых сетей и системы централизованного теплоснабжения, на территории городского округа Казань на 2024 год</t>
  </si>
  <si>
    <t>Инвестиционная программа № 868/2022 от 17.11.2022 АО "Коммунальные сети Мензелинского района" в сфере теплоснабжения по модернизации и реконструкции централизованных систем теплоснабжения, на территории муниципального района Мензелинский на 2022-2023 годы</t>
  </si>
  <si>
    <t>17.11.2022</t>
  </si>
  <si>
    <t>Инвестиционная программа № ПР-436/2020 от 30.10.2020 ООО "Газпром теплоэнерго Казань" в сфере теплоснабжения по модернизации систем центрального теплоснабжения (за исключением тепловых сетей), на территории городского поселения Город Бавлы, Бавлинский муниципальный район на 2021-2022 годы</t>
  </si>
  <si>
    <t>Инвестиционная программа от 01.08.2020 АО "Елабужское предприятие тепловых сетей" в сфере теплоснабжения по реконструкции и модернизации тепловых сетей, на территории городского поселения Город Елабуга, Елабужский муниципальный район на 2021-2023 годы</t>
  </si>
  <si>
    <t>Инвестиционная программа от 15.09.2021 в сфере теплоснабжения по строительству, реконструкции, модернизации и развитию котельных и тепловых сетей, на территории городского поселения город Иннополис, Верхнеуслонский муниципальный район на 2022 год</t>
  </si>
  <si>
    <t>Инвестиционная программа от 16.11.2022 в сфере теплоснабжения по модернизации и реконструкции объектов, на территории муниципального района Бавлинский на 2022-2023 годы</t>
  </si>
  <si>
    <t>16.11.2022</t>
  </si>
  <si>
    <t>Инвестиционная программа от 17.11.2022 АО "Коммунальные сети Мензелинского района" в сфере теплоснабжения по реконструкции и техническому перевооружению котельных, на территории муниципального района Мензелинский на 2022-2023 годы</t>
  </si>
  <si>
    <t>Инвестиционная программа от 30.10.2020 ООО "Газпром теплоэнерго Казань" в сфере теплоснабжения по модернизации и реконструкции объектов, на территории городского поселения Город Менделеевск, Менделеевский муниципальный район на 2021-2023 годы</t>
  </si>
  <si>
    <t>Инвестиционная программа от 31.08.2020 АО "Зеленодольское ПТС" в сфере теплоснабжения по реконструкции и модернизации тепловых сетей, на территории городского поселения Город Зеленодольск, Зеленодольский муниципальный район на 2021 год</t>
  </si>
  <si>
    <t>31.12.2021</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</si>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</sst>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58">
    <xf numFmtId="49" fontId="0" fillId="0" borderId="0" xfId="0">
      <alignment vertical="top"/>
    </xf>
    <xf numFmtId="0" fontId="27" fillId="19" borderId="51" xfId="0" applyNumberFormat="1" applyFont="1" applyFill="1" applyBorder="1" applyAlignment="1">
      <alignment horizontal="right" vertical="center"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170"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49" fontId="5" fillId="8" borderId="5" xfId="0" applyFont="1" applyFill="1" applyBorder="1" applyAlignment="1">
      <alignment horizontal="left" vertical="center" wrapText="1"/>
    </xf>
    <xf numFmtId="49" fontId="35" fillId="8" borderId="3" xfId="0" applyFont="1" applyFill="1" applyBorder="1" applyAlignment="1">
      <alignment horizontal="left" vertical="center" wrapText="1"/>
    </xf>
    <xf numFmtId="170" fontId="0" fillId="8" borderId="3" xfId="0" applyNumberForma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0" fontId="0" fillId="0" borderId="3" xfId="0" applyNumberFormat="1" applyBorder="1" applyAlignment="1">
      <alignment horizontal="center" vertical="center"/>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ppgkh_kuk@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A9894-47DD-D591-A661-E13B4142345C}">
  <dimension ref="A1:AB21"/>
  <sheetViews>
    <sheetView showGridLines="0" showRowColHeaders="0" workbookViewId="0"/>
  </sheetViews>
  <sheetFormatPr defaultColWidth="11" defaultRowHeight="12.75" customHeight="1"/>
  <cols>
    <col min="1" max="1" width="5.42578125" style="61" customWidth="1"/>
    <col min="2" max="2" width="9.140625" style="61" customWidth="1"/>
    <col min="3" max="3" width="16.42578125" style="61" customWidth="1"/>
    <col min="4" max="25" width="6.28515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20" t="s">
        <v>1</v>
      </c>
      <c r="C2" s="1120"/>
      <c r="D2" s="1120"/>
      <c r="E2" s="1120"/>
      <c r="F2" s="1120"/>
      <c r="G2" s="1120"/>
      <c r="H2" s="1120"/>
      <c r="I2" s="1120"/>
      <c r="J2" s="1120"/>
      <c r="K2" s="1120"/>
      <c r="L2" s="1120"/>
      <c r="M2" s="1120"/>
      <c r="N2" s="1120"/>
      <c r="O2" s="1120"/>
      <c r="P2" s="1120"/>
      <c r="Q2" s="914"/>
      <c r="R2" s="914"/>
      <c r="S2" s="914"/>
      <c r="T2" s="914"/>
      <c r="U2" s="914"/>
      <c r="V2" s="915"/>
      <c r="W2" s="914"/>
      <c r="X2" s="914"/>
      <c r="Y2" s="912"/>
      <c r="Z2" s="911"/>
      <c r="AA2" s="913"/>
      <c r="AB2" s="911"/>
    </row>
    <row r="3" spans="1:28" ht="15.75" customHeight="1">
      <c r="A3" s="911"/>
      <c r="B3" s="1121" t="s">
        <v>2</v>
      </c>
      <c r="C3" s="1121"/>
      <c r="D3" s="1121"/>
      <c r="E3" s="1121"/>
      <c r="F3" s="1121"/>
      <c r="G3" s="1121"/>
      <c r="H3" s="1121"/>
      <c r="I3" s="1121"/>
      <c r="J3" s="1121"/>
      <c r="K3" s="1121"/>
      <c r="L3" s="1121"/>
      <c r="M3" s="1121"/>
      <c r="N3" s="1121"/>
      <c r="O3" s="1121"/>
      <c r="P3" s="1121"/>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2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1123"/>
      <c r="D5" s="1123"/>
      <c r="E5" s="1123"/>
      <c r="F5" s="1123"/>
      <c r="G5" s="1123"/>
      <c r="H5" s="1123"/>
      <c r="I5" s="1123"/>
      <c r="J5" s="1123"/>
      <c r="K5" s="1123"/>
      <c r="L5" s="1123"/>
      <c r="M5" s="1123"/>
      <c r="N5" s="1123"/>
      <c r="O5" s="1123"/>
      <c r="P5" s="1123"/>
      <c r="Q5" s="1123"/>
      <c r="R5" s="1123"/>
      <c r="S5" s="1123"/>
      <c r="T5" s="1123"/>
      <c r="U5" s="1123"/>
      <c r="V5" s="1123"/>
      <c r="W5" s="1123"/>
      <c r="X5" s="1123"/>
      <c r="Y5" s="1124"/>
      <c r="Z5" s="917"/>
      <c r="AA5" s="913"/>
      <c r="AB5" s="917"/>
    </row>
    <row r="6" spans="1:28" ht="15" customHeight="1">
      <c r="A6" s="918"/>
      <c r="B6" s="1112" t="s">
        <v>3</v>
      </c>
      <c r="C6" s="1115"/>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12"/>
      <c r="C7" s="1115"/>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12"/>
      <c r="C8" s="1115"/>
      <c r="D8" s="924"/>
      <c r="E8" s="925" t="s">
        <v>4</v>
      </c>
      <c r="F8" s="1125" t="s">
        <v>5</v>
      </c>
      <c r="G8" s="1114"/>
      <c r="H8" s="1114"/>
      <c r="I8" s="1114"/>
      <c r="J8" s="1114"/>
      <c r="K8" s="1114"/>
      <c r="L8" s="1114"/>
      <c r="M8" s="1114"/>
      <c r="N8" s="924"/>
      <c r="O8" s="926" t="s">
        <v>4</v>
      </c>
      <c r="P8" s="1126" t="s">
        <v>6</v>
      </c>
      <c r="Q8" s="1127"/>
      <c r="R8" s="1127"/>
      <c r="S8" s="1127"/>
      <c r="T8" s="1127"/>
      <c r="U8" s="1127"/>
      <c r="V8" s="1127"/>
      <c r="W8" s="1127"/>
      <c r="X8" s="1127"/>
      <c r="Y8" s="920"/>
      <c r="Z8" s="921"/>
      <c r="AA8" s="922"/>
      <c r="AB8" s="922"/>
    </row>
    <row r="9" spans="1:28" ht="15" customHeight="1">
      <c r="A9" s="918"/>
      <c r="B9" s="1112"/>
      <c r="C9" s="1115"/>
      <c r="D9" s="924"/>
      <c r="E9" s="927" t="s">
        <v>4</v>
      </c>
      <c r="F9" s="1125" t="s">
        <v>7</v>
      </c>
      <c r="G9" s="1114"/>
      <c r="H9" s="1114"/>
      <c r="I9" s="1114"/>
      <c r="J9" s="1114"/>
      <c r="K9" s="1114"/>
      <c r="L9" s="1114"/>
      <c r="M9" s="1114"/>
      <c r="N9" s="924"/>
      <c r="O9" s="928" t="s">
        <v>4</v>
      </c>
      <c r="P9" s="1126" t="s">
        <v>8</v>
      </c>
      <c r="Q9" s="1127"/>
      <c r="R9" s="1127"/>
      <c r="S9" s="1127"/>
      <c r="T9" s="1127"/>
      <c r="U9" s="1127"/>
      <c r="V9" s="1127"/>
      <c r="W9" s="1127"/>
      <c r="X9" s="1127"/>
      <c r="Y9" s="920"/>
      <c r="Z9" s="921"/>
      <c r="AA9" s="922"/>
      <c r="AB9" s="922"/>
    </row>
    <row r="10" spans="1:28" ht="30" customHeight="1">
      <c r="A10" s="918"/>
      <c r="B10" s="1112"/>
      <c r="C10" s="1113"/>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 t="s">
        <v>9</v>
      </c>
      <c r="C11" s="1111"/>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12"/>
      <c r="C12" s="1113"/>
      <c r="D12" s="932"/>
      <c r="E12" s="1114" t="s">
        <v>10</v>
      </c>
      <c r="F12" s="1114"/>
      <c r="G12" s="1114"/>
      <c r="H12" s="1114"/>
      <c r="I12" s="1114"/>
      <c r="J12" s="1114"/>
      <c r="K12" s="1114"/>
      <c r="L12" s="1114"/>
      <c r="M12" s="1114"/>
      <c r="N12" s="1114"/>
      <c r="O12" s="1114"/>
      <c r="P12" s="1114"/>
      <c r="Q12" s="1114"/>
      <c r="R12" s="1114"/>
      <c r="S12" s="1114"/>
      <c r="T12" s="1114"/>
      <c r="U12" s="1114"/>
      <c r="V12" s="1114"/>
      <c r="W12" s="1114"/>
      <c r="X12" s="1114"/>
      <c r="Y12" s="920"/>
      <c r="Z12" s="921"/>
      <c r="AA12" s="922"/>
      <c r="AB12" s="922"/>
    </row>
    <row r="13" spans="1:28" ht="15" customHeight="1">
      <c r="A13" s="918"/>
      <c r="B13" s="1" t="s">
        <v>11</v>
      </c>
      <c r="C13" s="1111"/>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12"/>
      <c r="C14" s="1115"/>
      <c r="D14" s="924"/>
      <c r="E14" s="1118" t="s">
        <v>12</v>
      </c>
      <c r="F14" s="1118"/>
      <c r="G14" s="1118"/>
      <c r="H14" s="1118"/>
      <c r="I14" s="1118"/>
      <c r="J14" s="1118"/>
      <c r="K14" s="1118"/>
      <c r="L14" s="1118"/>
      <c r="M14" s="1118"/>
      <c r="N14" s="1118"/>
      <c r="O14" s="1118"/>
      <c r="P14" s="1118"/>
      <c r="Q14" s="1118"/>
      <c r="R14" s="1118"/>
      <c r="S14" s="1118"/>
      <c r="T14" s="1118"/>
      <c r="U14" s="1118"/>
      <c r="V14" s="1118"/>
      <c r="W14" s="1118"/>
      <c r="X14" s="1118"/>
      <c r="Y14" s="920"/>
      <c r="Z14" s="921"/>
      <c r="AA14" s="922"/>
      <c r="AB14" s="922"/>
    </row>
    <row r="15" spans="1:28" ht="16.5" customHeight="1">
      <c r="A15" s="918"/>
      <c r="B15" s="1116"/>
      <c r="C15" s="1117"/>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18"/>
      <c r="C16" s="1119"/>
      <c r="D16" s="1119"/>
      <c r="E16" s="1119"/>
      <c r="F16" s="1119"/>
      <c r="G16" s="1119"/>
      <c r="H16" s="1119"/>
      <c r="I16" s="1119"/>
      <c r="J16" s="1119"/>
      <c r="K16" s="1119"/>
      <c r="L16" s="1119"/>
      <c r="M16" s="1119"/>
      <c r="N16" s="1119"/>
      <c r="O16" s="1119"/>
      <c r="P16" s="1119"/>
      <c r="Q16" s="1119"/>
      <c r="R16" s="1119"/>
      <c r="S16" s="1119"/>
      <c r="T16" s="1119"/>
      <c r="U16" s="1119"/>
      <c r="V16" s="1119"/>
      <c r="W16" s="1119"/>
      <c r="X16" s="1119"/>
      <c r="Y16" s="1119"/>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B3DB9-296C-4FBD-F11B-552657F97709}">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8" hidden="1" customWidth="1"/>
    <col min="2" max="3" width="9.140625" style="11" hidden="1" customWidth="1"/>
    <col min="4" max="4" width="3" style="77"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8" customFormat="1" ht="5.25" hidden="1" customHeight="1">
      <c r="D1" s="122"/>
      <c r="G1" s="68" t="s">
        <v>83</v>
      </c>
      <c r="H1" s="68" t="s">
        <v>84</v>
      </c>
      <c r="I1" s="68" t="s">
        <v>85</v>
      </c>
      <c r="P1" s="68" t="s">
        <v>83</v>
      </c>
      <c r="Q1" s="68" t="s">
        <v>84</v>
      </c>
      <c r="R1" s="68" t="s">
        <v>85</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41" t="s">
        <v>392</v>
      </c>
      <c r="F4" s="1141"/>
      <c r="G4" s="1142"/>
      <c r="H4" s="1142"/>
      <c r="I4" s="1143"/>
      <c r="J4" s="281"/>
      <c r="K4" s="253"/>
      <c r="L4" s="253"/>
      <c r="W4" s="11">
        <v>22</v>
      </c>
    </row>
    <row r="5" spans="1:23" s="11" customFormat="1" ht="18" customHeight="1">
      <c r="A5" s="8"/>
      <c r="D5" s="23"/>
      <c r="E5" s="1251" t="str">
        <f>IF(org=0,"Не определено",org)</f>
        <v>ООО "Инженерные сети"</v>
      </c>
      <c r="F5" s="1251"/>
      <c r="G5" s="1252"/>
      <c r="H5" s="1252"/>
      <c r="I5" s="1253"/>
      <c r="J5" s="281"/>
      <c r="K5" s="253"/>
      <c r="L5" s="253"/>
      <c r="M5" s="45"/>
      <c r="W5" s="11">
        <v>17</v>
      </c>
    </row>
    <row r="6" spans="1:23" s="136" customFormat="1" ht="11.45" customHeight="1">
      <c r="A6" s="274"/>
      <c r="D6" s="279"/>
      <c r="E6" s="134"/>
      <c r="F6" s="134"/>
      <c r="G6" s="277"/>
      <c r="H6" s="277"/>
      <c r="I6" s="278"/>
      <c r="J6" s="278"/>
      <c r="K6" s="435"/>
      <c r="L6" s="278"/>
      <c r="W6" s="136">
        <v>11</v>
      </c>
    </row>
    <row r="7" spans="1:23" ht="14.65" customHeight="1">
      <c r="D7" s="23"/>
      <c r="E7" s="1236" t="s">
        <v>304</v>
      </c>
      <c r="F7" s="1236"/>
      <c r="G7" s="1237"/>
      <c r="H7" s="1237"/>
      <c r="I7" s="1237"/>
      <c r="J7" s="1237"/>
      <c r="K7" s="1237"/>
      <c r="L7" s="1205" t="s">
        <v>305</v>
      </c>
      <c r="W7" s="11">
        <v>14</v>
      </c>
    </row>
    <row r="8" spans="1:23" ht="48.2" customHeight="1">
      <c r="D8" s="23"/>
      <c r="E8" s="36" t="s">
        <v>88</v>
      </c>
      <c r="F8" s="36"/>
      <c r="G8" s="41" t="s">
        <v>86</v>
      </c>
      <c r="H8" s="41" t="s">
        <v>87</v>
      </c>
      <c r="I8" s="39" t="s">
        <v>85</v>
      </c>
      <c r="J8" s="39" t="s">
        <v>393</v>
      </c>
      <c r="K8" s="39" t="s">
        <v>394</v>
      </c>
      <c r="L8" s="1205"/>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49" t="s">
        <v>395</v>
      </c>
      <c r="W10" s="11">
        <v>0</v>
      </c>
    </row>
    <row r="11" spans="1:23" ht="15" hidden="1" customHeight="1">
      <c r="A11" s="1132"/>
      <c r="B11" s="34"/>
      <c r="C11" s="34"/>
      <c r="D11" s="501"/>
      <c r="E11" s="291"/>
      <c r="F11" s="291"/>
      <c r="G11" s="291"/>
      <c r="H11" s="291"/>
      <c r="I11" s="213"/>
      <c r="J11" s="292"/>
      <c r="K11" s="411"/>
      <c r="L11" s="1262"/>
      <c r="M11" s="68"/>
      <c r="N11" s="68"/>
      <c r="O11" s="68"/>
      <c r="P11" s="293"/>
      <c r="Q11" s="293"/>
      <c r="R11" s="294"/>
      <c r="S11" s="68"/>
      <c r="T11" s="68"/>
      <c r="U11" s="68"/>
      <c r="V11" s="68"/>
      <c r="W11" s="11">
        <v>0</v>
      </c>
    </row>
    <row r="12" spans="1:23" s="136" customFormat="1" ht="15" customHeight="1">
      <c r="A12" s="1132"/>
      <c r="B12" s="34"/>
      <c r="C12" s="34"/>
      <c r="D12" s="502"/>
      <c r="E12" s="36">
        <v>1</v>
      </c>
      <c r="F12" s="500">
        <v>23</v>
      </c>
      <c r="G12" s="499"/>
      <c r="H12" s="455"/>
      <c r="I12" s="453"/>
      <c r="J12" s="296" t="s">
        <v>66</v>
      </c>
      <c r="K12" s="117" t="s">
        <v>22</v>
      </c>
      <c r="L12" s="1262"/>
      <c r="M12" s="68"/>
      <c r="N12" s="68"/>
      <c r="O12" s="68"/>
      <c r="P12" s="293" t="s">
        <v>396</v>
      </c>
      <c r="Q12" s="293" t="s">
        <v>397</v>
      </c>
      <c r="R12" s="294" t="s">
        <v>398</v>
      </c>
      <c r="S12" s="68" t="s">
        <v>399</v>
      </c>
      <c r="T12" s="68"/>
      <c r="U12" s="68"/>
      <c r="V12" s="68"/>
      <c r="W12" s="136">
        <v>14</v>
      </c>
    </row>
    <row r="13" spans="1:23" ht="15.75" customHeight="1">
      <c r="A13" s="1132"/>
      <c r="D13" s="23"/>
      <c r="E13" s="155"/>
      <c r="F13" s="300"/>
      <c r="G13" s="52" t="s">
        <v>108</v>
      </c>
      <c r="H13" s="231"/>
      <c r="I13" s="231"/>
      <c r="J13" s="231"/>
      <c r="K13" s="230"/>
      <c r="L13" s="1250"/>
      <c r="M13" s="11"/>
      <c r="W13" s="11">
        <v>15</v>
      </c>
    </row>
    <row r="14" spans="1:23" ht="11.4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65"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262"/>
      <c r="I15" s="262"/>
      <c r="J15" s="262"/>
      <c r="K15" s="262"/>
      <c r="L15" s="262"/>
      <c r="W15" s="11">
        <v>14</v>
      </c>
    </row>
    <row r="16" spans="1:23" ht="14.65" customHeight="1">
      <c r="W16" s="11">
        <v>14</v>
      </c>
    </row>
    <row r="17" spans="1:23" ht="14.65" customHeight="1">
      <c r="W17" s="11">
        <v>14</v>
      </c>
    </row>
    <row r="18" spans="1:23" ht="14.65" customHeight="1">
      <c r="W18" s="11">
        <v>14</v>
      </c>
    </row>
    <row r="19" spans="1:23" ht="22.5" hidden="1" customHeight="1">
      <c r="A19" s="8" t="s">
        <v>82</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BBC31-11BF-D223-F341-54DC11A129E9}">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400</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402</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403</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405</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406</v>
      </c>
      <c r="AO5" s="69"/>
      <c r="AP5" s="69" t="str">
        <f t="shared" si="0"/>
        <v xml:space="preserve">Источник тепловой энергии  </v>
      </c>
      <c r="AQ5" s="69"/>
      <c r="AR5" s="69"/>
      <c r="AS5" s="11">
        <v>0</v>
      </c>
    </row>
    <row r="6" spans="1:45" ht="47.25" hidden="1" customHeight="1">
      <c r="A6" s="769"/>
      <c r="B6" s="769"/>
      <c r="C6" s="769"/>
      <c r="D6" s="769"/>
      <c r="E6" s="1276"/>
      <c r="F6" s="1276"/>
      <c r="G6" s="1276"/>
      <c r="H6" s="1276"/>
      <c r="I6" s="1277" t="e">
        <f>S5&amp;".1"</f>
        <v>#N/A</v>
      </c>
      <c r="J6" s="769"/>
      <c r="K6" s="769"/>
      <c r="L6" s="770" t="s">
        <v>407</v>
      </c>
      <c r="M6" s="63"/>
      <c r="P6" s="1279">
        <v>1</v>
      </c>
      <c r="Q6" s="122"/>
      <c r="R6" s="208"/>
      <c r="S6" s="709" t="e">
        <f>$I6</f>
        <v>#N/A</v>
      </c>
      <c r="T6" s="164" t="s">
        <v>408</v>
      </c>
      <c r="U6" s="171"/>
      <c r="V6" s="1263"/>
      <c r="W6" s="1264"/>
      <c r="X6" s="1264"/>
      <c r="Y6" s="1264"/>
      <c r="Z6" s="1264"/>
      <c r="AA6" s="1264"/>
      <c r="AB6" s="1264"/>
      <c r="AC6" s="1265"/>
      <c r="AD6" s="1263"/>
      <c r="AE6" s="1264"/>
      <c r="AF6" s="1264"/>
      <c r="AG6" s="1264"/>
      <c r="AH6" s="1264"/>
      <c r="AI6" s="1264"/>
      <c r="AJ6" s="1264"/>
      <c r="AK6" s="1264"/>
      <c r="AL6" s="1265"/>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6"/>
      <c r="F7" s="1276"/>
      <c r="G7" s="1276"/>
      <c r="H7" s="1276"/>
      <c r="I7" s="1278"/>
      <c r="J7" s="1277" t="e">
        <f>I6&amp;".1"</f>
        <v>#N/A</v>
      </c>
      <c r="K7" s="769"/>
      <c r="L7" s="770" t="s">
        <v>410</v>
      </c>
      <c r="M7" s="63"/>
      <c r="N7" s="63"/>
      <c r="P7" s="1279"/>
      <c r="Q7" s="1279">
        <v>1</v>
      </c>
      <c r="R7" s="209"/>
      <c r="S7" s="709" t="e">
        <f>$J7</f>
        <v>#N/A</v>
      </c>
      <c r="T7" s="165" t="s">
        <v>411</v>
      </c>
      <c r="U7" s="171"/>
      <c r="V7" s="1263"/>
      <c r="W7" s="1264"/>
      <c r="X7" s="1264"/>
      <c r="Y7" s="1264"/>
      <c r="Z7" s="1264"/>
      <c r="AA7" s="1264"/>
      <c r="AB7" s="1264"/>
      <c r="AC7" s="1265"/>
      <c r="AD7" s="1263"/>
      <c r="AE7" s="1264"/>
      <c r="AF7" s="1264"/>
      <c r="AG7" s="1264"/>
      <c r="AH7" s="1264"/>
      <c r="AI7" s="1264"/>
      <c r="AJ7" s="1264"/>
      <c r="AK7" s="1264"/>
      <c r="AL7" s="1265"/>
      <c r="AM7" s="729" t="s">
        <v>412</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413</v>
      </c>
      <c r="M8" s="63"/>
      <c r="N8" s="63"/>
      <c r="O8" s="63"/>
      <c r="P8" s="1279"/>
      <c r="Q8" s="1279"/>
      <c r="R8" s="209">
        <v>1</v>
      </c>
      <c r="S8" s="709" t="e">
        <f>$K8</f>
        <v>#N/A</v>
      </c>
      <c r="T8" s="765"/>
      <c r="U8" s="171"/>
      <c r="V8" s="306"/>
      <c r="W8" s="191"/>
      <c r="X8" s="306"/>
      <c r="Y8" s="728"/>
      <c r="Z8" s="1280"/>
      <c r="AA8" s="1158" t="s">
        <v>66</v>
      </c>
      <c r="AB8" s="1280"/>
      <c r="AC8" s="1158" t="s">
        <v>66</v>
      </c>
      <c r="AD8" s="306"/>
      <c r="AE8" s="191"/>
      <c r="AF8" s="306"/>
      <c r="AG8" s="728"/>
      <c r="AH8" s="1280"/>
      <c r="AI8" s="1158" t="s">
        <v>66</v>
      </c>
      <c r="AJ8" s="1280"/>
      <c r="AK8" s="1158" t="s">
        <v>66</v>
      </c>
      <c r="AL8" s="191"/>
      <c r="AM8" s="1298" t="s">
        <v>414</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8"/>
      <c r="AB9" s="1281"/>
      <c r="AC9" s="1158"/>
      <c r="AD9" s="191"/>
      <c r="AE9" s="191"/>
      <c r="AF9" s="191"/>
      <c r="AG9" s="192" t="str">
        <f>AH8&amp;"-"&amp;AJ8</f>
        <v>-</v>
      </c>
      <c r="AH9" s="1281"/>
      <c r="AI9" s="1158"/>
      <c r="AJ9" s="1281"/>
      <c r="AK9" s="1158"/>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6"/>
      <c r="F11" s="1276"/>
      <c r="G11" s="1276"/>
      <c r="H11" s="1276"/>
      <c r="I11" s="1277"/>
      <c r="J11" s="769"/>
      <c r="K11" s="769"/>
      <c r="L11" s="770"/>
      <c r="M11" s="63"/>
      <c r="P11" s="1279"/>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421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422</v>
      </c>
      <c r="P22" s="506"/>
      <c r="Q22" s="772"/>
      <c r="R22" s="772"/>
      <c r="S22" s="426"/>
      <c r="T22" s="63" t="s">
        <v>423</v>
      </c>
      <c r="AA22" s="82" t="s">
        <v>424</v>
      </c>
      <c r="AC22" s="82" t="s">
        <v>425</v>
      </c>
      <c r="AD22" s="63" t="s">
        <v>423</v>
      </c>
      <c r="AI22" s="82" t="s">
        <v>426</v>
      </c>
      <c r="AK22" s="82" t="s">
        <v>425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14</v>
      </c>
    </row>
    <row r="27" spans="1:45" ht="14.65" customHeight="1">
      <c r="Q27" s="28"/>
      <c r="R27" s="28"/>
      <c r="S27" s="1229" t="str">
        <f>IF(org=0,"Не определено",org)</f>
        <v>ООО "Инженерные сети"</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427</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428</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429</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430</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431</v>
      </c>
      <c r="AD36" s="11"/>
      <c r="AE36" s="11"/>
      <c r="AF36" s="11"/>
      <c r="AG36" s="11"/>
      <c r="AH36" s="11"/>
      <c r="AI36" s="11"/>
      <c r="AJ36" s="11"/>
      <c r="AK36" s="68" t="s">
        <v>431</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65" customHeight="1">
      <c r="Q39" s="28"/>
      <c r="R39" s="28"/>
      <c r="S39" s="1288" t="s">
        <v>88</v>
      </c>
      <c r="T39" s="1237" t="s">
        <v>432</v>
      </c>
      <c r="U39" s="172"/>
      <c r="V39" s="1289" t="s">
        <v>433</v>
      </c>
      <c r="W39" s="1290"/>
      <c r="X39" s="1290"/>
      <c r="Y39" s="1290"/>
      <c r="Z39" s="1290"/>
      <c r="AA39" s="1290"/>
      <c r="AB39" s="1291"/>
      <c r="AC39" s="1292" t="s">
        <v>434</v>
      </c>
      <c r="AD39" s="1289" t="s">
        <v>433</v>
      </c>
      <c r="AE39" s="1290"/>
      <c r="AF39" s="1290"/>
      <c r="AG39" s="1290"/>
      <c r="AH39" s="1290"/>
      <c r="AI39" s="1290"/>
      <c r="AJ39" s="1291"/>
      <c r="AK39" s="1292" t="s">
        <v>435</v>
      </c>
      <c r="AL39" s="1295" t="s">
        <v>436</v>
      </c>
      <c r="AM39" s="1148"/>
      <c r="AS39" s="11">
        <v>14</v>
      </c>
    </row>
    <row r="40" spans="1:45" ht="35.65" customHeight="1">
      <c r="Q40" s="28"/>
      <c r="R40" s="28"/>
      <c r="S40" s="1288"/>
      <c r="T40" s="1237"/>
      <c r="U40" s="607"/>
      <c r="V40" s="1207" t="s">
        <v>437</v>
      </c>
      <c r="W40" s="1284" t="s">
        <v>438</v>
      </c>
      <c r="X40" s="1129" t="s">
        <v>439</v>
      </c>
      <c r="Y40" s="1128"/>
      <c r="Z40" s="1129" t="s">
        <v>440</v>
      </c>
      <c r="AA40" s="1135"/>
      <c r="AB40" s="1128"/>
      <c r="AC40" s="1293"/>
      <c r="AD40" s="1207" t="s">
        <v>437</v>
      </c>
      <c r="AE40" s="1284" t="s">
        <v>438</v>
      </c>
      <c r="AF40" s="1129" t="s">
        <v>439</v>
      </c>
      <c r="AG40" s="1128"/>
      <c r="AH40" s="1129" t="s">
        <v>440</v>
      </c>
      <c r="AI40" s="1135"/>
      <c r="AJ40" s="1128"/>
      <c r="AK40" s="1293"/>
      <c r="AL40" s="1296"/>
      <c r="AM40" s="1148"/>
      <c r="AS40" s="11">
        <v>34</v>
      </c>
    </row>
    <row r="41" spans="1:45" ht="35.65" customHeight="1">
      <c r="A41" s="82"/>
      <c r="B41" s="82" t="s">
        <v>141</v>
      </c>
      <c r="C41" s="82" t="s">
        <v>142</v>
      </c>
      <c r="D41" s="82" t="s">
        <v>143</v>
      </c>
      <c r="E41" s="770" t="s">
        <v>441</v>
      </c>
      <c r="F41" s="770" t="s">
        <v>442</v>
      </c>
      <c r="G41" s="770" t="s">
        <v>443</v>
      </c>
      <c r="H41" s="770" t="s">
        <v>444</v>
      </c>
      <c r="I41" s="770" t="s">
        <v>445</v>
      </c>
      <c r="J41" s="770" t="s">
        <v>446</v>
      </c>
      <c r="K41" s="770" t="s">
        <v>447</v>
      </c>
      <c r="L41" s="770" t="s">
        <v>422</v>
      </c>
      <c r="Q41" s="28"/>
      <c r="R41" s="28"/>
      <c r="S41" s="1288"/>
      <c r="T41" s="1237"/>
      <c r="U41" s="173"/>
      <c r="V41" s="1261"/>
      <c r="W41" s="1285"/>
      <c r="X41" s="39" t="s">
        <v>448</v>
      </c>
      <c r="Y41" s="39" t="s">
        <v>449</v>
      </c>
      <c r="Z41" s="39" t="s">
        <v>450</v>
      </c>
      <c r="AA41" s="1242" t="s">
        <v>451</v>
      </c>
      <c r="AB41" s="1255"/>
      <c r="AC41" s="1294"/>
      <c r="AD41" s="1261"/>
      <c r="AE41" s="1285"/>
      <c r="AF41" s="39" t="s">
        <v>448</v>
      </c>
      <c r="AG41" s="39" t="s">
        <v>449</v>
      </c>
      <c r="AH41" s="39" t="s">
        <v>450</v>
      </c>
      <c r="AI41" s="1242" t="s">
        <v>451</v>
      </c>
      <c r="AJ41" s="1255"/>
      <c r="AK41" s="1294"/>
      <c r="AL41" s="1297"/>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115</v>
      </c>
      <c r="T42" s="726" t="s">
        <v>103</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4" customHeight="1">
      <c r="A43" s="769" t="s">
        <v>162</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129</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162</v>
      </c>
      <c r="B44" s="769" t="s">
        <v>163</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402</v>
      </c>
      <c r="AO44" s="69"/>
      <c r="AP44" s="69" t="str">
        <f t="shared" si="1"/>
        <v>Территория действия тарифа</v>
      </c>
      <c r="AQ44" s="69"/>
      <c r="AR44" s="69"/>
      <c r="AS44" s="11">
        <v>23</v>
      </c>
    </row>
    <row r="45" spans="1:45" ht="24" customHeight="1">
      <c r="A45" s="769" t="s">
        <v>162</v>
      </c>
      <c r="B45" s="769" t="s">
        <v>163</v>
      </c>
      <c r="C45" s="769" t="s">
        <v>164</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403</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404</v>
      </c>
      <c r="AO45" s="69"/>
      <c r="AP45" s="69" t="str">
        <f t="shared" si="1"/>
        <v xml:space="preserve">Наименование системы теплоснабжения </v>
      </c>
      <c r="AQ45" s="69"/>
      <c r="AR45" s="69"/>
      <c r="AS45" s="11">
        <v>23</v>
      </c>
    </row>
    <row r="46" spans="1:45" ht="24" customHeight="1">
      <c r="A46" s="769" t="s">
        <v>162</v>
      </c>
      <c r="B46" s="769" t="s">
        <v>163</v>
      </c>
      <c r="C46" s="769" t="s">
        <v>164</v>
      </c>
      <c r="D46" s="769" t="s">
        <v>165</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405</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406</v>
      </c>
      <c r="AO46" s="69"/>
      <c r="AP46" s="69" t="str">
        <f t="shared" si="1"/>
        <v xml:space="preserve">Источник тепловой энергии  </v>
      </c>
      <c r="AQ46" s="69"/>
      <c r="AR46" s="69"/>
      <c r="AS46" s="11">
        <v>23</v>
      </c>
    </row>
    <row r="47" spans="1:45" ht="49.5" customHeight="1">
      <c r="A47" s="769" t="s">
        <v>162</v>
      </c>
      <c r="B47" s="769" t="s">
        <v>163</v>
      </c>
      <c r="C47" s="769" t="s">
        <v>164</v>
      </c>
      <c r="D47" s="769" t="s">
        <v>165</v>
      </c>
      <c r="E47" s="1276"/>
      <c r="F47" s="1276"/>
      <c r="G47" s="1276"/>
      <c r="H47" s="1276"/>
      <c r="I47" s="1277" t="str">
        <f>S46&amp;".1"</f>
        <v>....1</v>
      </c>
      <c r="J47" s="769"/>
      <c r="K47" s="769"/>
      <c r="L47" s="770" t="s">
        <v>407</v>
      </c>
      <c r="P47" s="1279">
        <v>1</v>
      </c>
      <c r="Q47" s="122"/>
      <c r="R47" s="208"/>
      <c r="S47" s="709" t="str">
        <f>$I47</f>
        <v>....1</v>
      </c>
      <c r="T47" s="164" t="s">
        <v>408</v>
      </c>
      <c r="U47" s="171"/>
      <c r="V47" s="1263"/>
      <c r="W47" s="1264"/>
      <c r="X47" s="1264"/>
      <c r="Y47" s="1264"/>
      <c r="Z47" s="1264"/>
      <c r="AA47" s="1264"/>
      <c r="AB47" s="1264"/>
      <c r="AC47" s="1265"/>
      <c r="AD47" s="1263"/>
      <c r="AE47" s="1264"/>
      <c r="AF47" s="1264"/>
      <c r="AG47" s="1264"/>
      <c r="AH47" s="1264"/>
      <c r="AI47" s="1264"/>
      <c r="AJ47" s="1264"/>
      <c r="AK47" s="1264"/>
      <c r="AL47" s="1265"/>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162</v>
      </c>
      <c r="B48" s="769" t="s">
        <v>163</v>
      </c>
      <c r="C48" s="769" t="s">
        <v>164</v>
      </c>
      <c r="D48" s="769" t="s">
        <v>165</v>
      </c>
      <c r="E48" s="1276"/>
      <c r="F48" s="1276"/>
      <c r="G48" s="1276"/>
      <c r="H48" s="1276"/>
      <c r="I48" s="1278"/>
      <c r="J48" s="1277" t="str">
        <f>I47&amp;".1"</f>
        <v>....1.1</v>
      </c>
      <c r="K48" s="769"/>
      <c r="L48" s="770" t="s">
        <v>410</v>
      </c>
      <c r="P48" s="1279"/>
      <c r="Q48" s="1279">
        <v>1</v>
      </c>
      <c r="R48" s="209"/>
      <c r="S48" s="709" t="str">
        <f>$J48</f>
        <v>....1.1</v>
      </c>
      <c r="T48" s="165" t="s">
        <v>411</v>
      </c>
      <c r="U48" s="171"/>
      <c r="V48" s="1263"/>
      <c r="W48" s="1264"/>
      <c r="X48" s="1264"/>
      <c r="Y48" s="1264"/>
      <c r="Z48" s="1264"/>
      <c r="AA48" s="1264"/>
      <c r="AB48" s="1264"/>
      <c r="AC48" s="1265"/>
      <c r="AD48" s="1263"/>
      <c r="AE48" s="1264"/>
      <c r="AF48" s="1264"/>
      <c r="AG48" s="1264"/>
      <c r="AH48" s="1264"/>
      <c r="AI48" s="1264"/>
      <c r="AJ48" s="1264"/>
      <c r="AK48" s="1264"/>
      <c r="AL48" s="1265"/>
      <c r="AM48" s="729" t="s">
        <v>412</v>
      </c>
      <c r="AO48" s="69"/>
      <c r="AP48" s="69" t="str">
        <f t="shared" si="1"/>
        <v>Группа потребителей</v>
      </c>
      <c r="AQ48" s="69"/>
      <c r="AR48" s="69"/>
      <c r="AS48" s="11">
        <v>23</v>
      </c>
    </row>
    <row r="49" spans="1:45" ht="24" customHeight="1">
      <c r="A49" s="769" t="s">
        <v>162</v>
      </c>
      <c r="B49" s="769" t="s">
        <v>163</v>
      </c>
      <c r="C49" s="769" t="s">
        <v>164</v>
      </c>
      <c r="D49" s="769" t="s">
        <v>165</v>
      </c>
      <c r="E49" s="1276"/>
      <c r="F49" s="1276"/>
      <c r="G49" s="1276"/>
      <c r="H49" s="1276"/>
      <c r="I49" s="1278"/>
      <c r="J49" s="1278"/>
      <c r="K49" s="1277" t="str">
        <f>J48&amp;".1"</f>
        <v>....1.1.1</v>
      </c>
      <c r="L49" s="770" t="s">
        <v>413</v>
      </c>
      <c r="P49" s="1279"/>
      <c r="Q49" s="1279"/>
      <c r="R49" s="209">
        <v>1</v>
      </c>
      <c r="S49" s="709" t="str">
        <f>$K49</f>
        <v>....1.1.1</v>
      </c>
      <c r="T49" s="765"/>
      <c r="U49" s="171"/>
      <c r="V49" s="306"/>
      <c r="W49" s="191"/>
      <c r="X49" s="306"/>
      <c r="Y49" s="728"/>
      <c r="Z49" s="1280"/>
      <c r="AA49" s="1158" t="s">
        <v>66</v>
      </c>
      <c r="AB49" s="1280"/>
      <c r="AC49" s="1158" t="s">
        <v>66</v>
      </c>
      <c r="AD49" s="306"/>
      <c r="AE49" s="191"/>
      <c r="AF49" s="306"/>
      <c r="AG49" s="728"/>
      <c r="AH49" s="1280"/>
      <c r="AI49" s="1158" t="s">
        <v>66</v>
      </c>
      <c r="AJ49" s="1282"/>
      <c r="AK49" s="1158" t="s">
        <v>66</v>
      </c>
      <c r="AL49" s="766"/>
      <c r="AM49" s="1298" t="s">
        <v>414</v>
      </c>
      <c r="AN49" s="68" t="e">
        <f ca="1">STRCHECKDATE(V50:AL50)</f>
        <v>#NAME?</v>
      </c>
      <c r="AO49" s="69"/>
      <c r="AP49" s="69" t="str">
        <f t="shared" si="1"/>
        <v/>
      </c>
      <c r="AQ49" s="69"/>
      <c r="AR49" s="69"/>
      <c r="AS49" s="11">
        <v>23</v>
      </c>
    </row>
    <row r="50" spans="1:45" ht="1.1499999999999999" customHeight="1">
      <c r="A50" s="769" t="s">
        <v>162</v>
      </c>
      <c r="B50" s="769" t="s">
        <v>163</v>
      </c>
      <c r="C50" s="769" t="s">
        <v>164</v>
      </c>
      <c r="D50" s="769" t="s">
        <v>165</v>
      </c>
      <c r="E50" s="1276"/>
      <c r="F50" s="1276"/>
      <c r="G50" s="1276"/>
      <c r="H50" s="1276"/>
      <c r="I50" s="1278"/>
      <c r="J50" s="1278"/>
      <c r="K50" s="1277"/>
      <c r="L50" s="770"/>
      <c r="P50" s="1279"/>
      <c r="Q50" s="1279"/>
      <c r="R50" s="209"/>
      <c r="S50" s="65"/>
      <c r="T50" s="171"/>
      <c r="U50" s="171"/>
      <c r="V50" s="191"/>
      <c r="W50" s="191"/>
      <c r="X50" s="191"/>
      <c r="Y50" s="192" t="str">
        <f>Z49&amp;"-"&amp;AB49</f>
        <v>-</v>
      </c>
      <c r="Z50" s="1281"/>
      <c r="AA50" s="1158"/>
      <c r="AB50" s="1281"/>
      <c r="AC50" s="1158"/>
      <c r="AD50" s="191"/>
      <c r="AE50" s="191"/>
      <c r="AF50" s="191"/>
      <c r="AG50" s="192" t="str">
        <f>AH49&amp;"-"&amp;AJ49</f>
        <v>-</v>
      </c>
      <c r="AH50" s="1281"/>
      <c r="AI50" s="1158"/>
      <c r="AJ50" s="1283"/>
      <c r="AK50" s="1158"/>
      <c r="AL50" s="767"/>
      <c r="AM50" s="1299"/>
      <c r="AO50" s="69"/>
      <c r="AP50" s="69" t="str">
        <f t="shared" si="1"/>
        <v/>
      </c>
      <c r="AQ50" s="69"/>
      <c r="AR50" s="69"/>
      <c r="AS50" s="11">
        <v>1</v>
      </c>
    </row>
    <row r="51" spans="1:45" ht="11.45" customHeight="1">
      <c r="A51" s="769" t="s">
        <v>162</v>
      </c>
      <c r="B51" s="769" t="s">
        <v>163</v>
      </c>
      <c r="C51" s="769" t="s">
        <v>164</v>
      </c>
      <c r="D51" s="769" t="s">
        <v>165</v>
      </c>
      <c r="E51" s="1276"/>
      <c r="F51" s="1276"/>
      <c r="G51" s="1276"/>
      <c r="H51" s="1276"/>
      <c r="I51" s="1278"/>
      <c r="J51" s="1277"/>
      <c r="K51" s="769"/>
      <c r="L51" s="770"/>
      <c r="P51" s="1279"/>
      <c r="Q51" s="1279"/>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162</v>
      </c>
      <c r="B52" s="769" t="s">
        <v>163</v>
      </c>
      <c r="C52" s="769" t="s">
        <v>164</v>
      </c>
      <c r="D52" s="769" t="s">
        <v>165</v>
      </c>
      <c r="E52" s="1276"/>
      <c r="F52" s="1276"/>
      <c r="G52" s="1276"/>
      <c r="H52" s="1276"/>
      <c r="I52" s="1277"/>
      <c r="J52" s="769"/>
      <c r="K52" s="769"/>
      <c r="L52" s="770"/>
      <c r="P52" s="1279"/>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162</v>
      </c>
      <c r="B53" s="769" t="s">
        <v>163</v>
      </c>
      <c r="C53" s="769" t="s">
        <v>164</v>
      </c>
      <c r="D53" s="769" t="s">
        <v>165</v>
      </c>
      <c r="E53" s="1276"/>
      <c r="F53" s="1276"/>
      <c r="G53" s="1276"/>
      <c r="H53" s="1275"/>
      <c r="I53" s="769"/>
      <c r="J53" s="769"/>
      <c r="K53" s="769"/>
      <c r="L53" s="770"/>
      <c r="M53" s="426"/>
      <c r="N53" s="426"/>
      <c r="O53" s="63"/>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162</v>
      </c>
      <c r="B54" s="145" t="s">
        <v>163</v>
      </c>
      <c r="C54" s="145" t="s">
        <v>164</v>
      </c>
      <c r="D54" s="145"/>
      <c r="E54" s="1276"/>
      <c r="F54" s="1276"/>
      <c r="G54" s="127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162</v>
      </c>
      <c r="B55" s="145" t="s">
        <v>163</v>
      </c>
      <c r="C55" s="145"/>
      <c r="D55" s="145"/>
      <c r="E55" s="1276"/>
      <c r="F55" s="1275"/>
      <c r="G55" s="145"/>
      <c r="H55" s="145"/>
      <c r="I55" s="145"/>
      <c r="J55" s="145"/>
      <c r="K55" s="145"/>
      <c r="L55" s="346"/>
      <c r="M55" s="759"/>
      <c r="N55" s="759"/>
      <c r="P55" s="104"/>
      <c r="Q55" s="755"/>
      <c r="R55" s="104"/>
      <c r="S55" s="760"/>
      <c r="T55" s="762" t="s">
        <v>419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162</v>
      </c>
      <c r="B56" s="145"/>
      <c r="C56" s="145"/>
      <c r="D56" s="145"/>
      <c r="E56" s="1275"/>
      <c r="F56" s="145"/>
      <c r="G56" s="145"/>
      <c r="H56" s="145"/>
      <c r="I56" s="145"/>
      <c r="J56" s="145"/>
      <c r="K56" s="145"/>
      <c r="L56" s="346"/>
      <c r="M56" s="759"/>
      <c r="N56" s="759"/>
      <c r="P56" s="104"/>
      <c r="Q56" s="755"/>
      <c r="R56" s="104"/>
      <c r="S56" s="760"/>
      <c r="T56" s="762" t="s">
        <v>420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452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67.150000000000006"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64</v>
      </c>
    </row>
    <row r="61" spans="1:45" ht="14.65" customHeight="1">
      <c r="O61" s="63"/>
      <c r="AS61" s="11">
        <v>14</v>
      </c>
    </row>
    <row r="62" spans="1:45" ht="18.75" customHeight="1">
      <c r="O62" s="63"/>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63"/>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29.25" customHeight="1">
      <c r="O64" s="63"/>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A02CC-0609-49B4-66DD-4718511D4687}">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400</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402</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403</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405</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406</v>
      </c>
      <c r="AO5" s="69"/>
      <c r="AP5" s="69" t="str">
        <f t="shared" si="0"/>
        <v xml:space="preserve">Источник тепловой энергии  </v>
      </c>
      <c r="AQ5" s="69"/>
      <c r="AR5" s="69"/>
      <c r="AS5" s="11">
        <v>0</v>
      </c>
    </row>
    <row r="6" spans="1:45" ht="47.25" hidden="1" customHeight="1">
      <c r="A6" s="769"/>
      <c r="B6" s="769"/>
      <c r="C6" s="769"/>
      <c r="D6" s="769"/>
      <c r="E6" s="1276"/>
      <c r="F6" s="1276"/>
      <c r="G6" s="1276"/>
      <c r="H6" s="1276"/>
      <c r="I6" s="1277" t="e">
        <f>S5&amp;".1"</f>
        <v>#N/A</v>
      </c>
      <c r="J6" s="769"/>
      <c r="K6" s="769"/>
      <c r="L6" s="770" t="s">
        <v>407</v>
      </c>
      <c r="M6" s="63"/>
      <c r="P6" s="1279">
        <v>1</v>
      </c>
      <c r="Q6" s="122"/>
      <c r="R6" s="208"/>
      <c r="S6" s="709" t="e">
        <f>$I6</f>
        <v>#N/A</v>
      </c>
      <c r="T6" s="164" t="s">
        <v>408</v>
      </c>
      <c r="U6" s="171"/>
      <c r="V6" s="1263"/>
      <c r="W6" s="1264"/>
      <c r="X6" s="1264"/>
      <c r="Y6" s="1264"/>
      <c r="Z6" s="1264"/>
      <c r="AA6" s="1264"/>
      <c r="AB6" s="1264"/>
      <c r="AC6" s="1265"/>
      <c r="AD6" s="1263"/>
      <c r="AE6" s="1264"/>
      <c r="AF6" s="1264"/>
      <c r="AG6" s="1264"/>
      <c r="AH6" s="1264"/>
      <c r="AI6" s="1264"/>
      <c r="AJ6" s="1264"/>
      <c r="AK6" s="1264"/>
      <c r="AL6" s="1265"/>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6"/>
      <c r="F7" s="1276"/>
      <c r="G7" s="1276"/>
      <c r="H7" s="1276"/>
      <c r="I7" s="1278"/>
      <c r="J7" s="1277" t="e">
        <f>I6&amp;".1"</f>
        <v>#N/A</v>
      </c>
      <c r="K7" s="769"/>
      <c r="L7" s="770" t="s">
        <v>410</v>
      </c>
      <c r="M7" s="63"/>
      <c r="N7" s="63"/>
      <c r="P7" s="1279"/>
      <c r="Q7" s="1279">
        <v>1</v>
      </c>
      <c r="R7" s="209"/>
      <c r="S7" s="709" t="e">
        <f>$J7</f>
        <v>#N/A</v>
      </c>
      <c r="T7" s="165" t="s">
        <v>411</v>
      </c>
      <c r="U7" s="171"/>
      <c r="V7" s="1263"/>
      <c r="W7" s="1264"/>
      <c r="X7" s="1264"/>
      <c r="Y7" s="1264"/>
      <c r="Z7" s="1264"/>
      <c r="AA7" s="1264"/>
      <c r="AB7" s="1264"/>
      <c r="AC7" s="1265"/>
      <c r="AD7" s="1263"/>
      <c r="AE7" s="1264"/>
      <c r="AF7" s="1264"/>
      <c r="AG7" s="1264"/>
      <c r="AH7" s="1264"/>
      <c r="AI7" s="1264"/>
      <c r="AJ7" s="1264"/>
      <c r="AK7" s="1264"/>
      <c r="AL7" s="1265"/>
      <c r="AM7" s="729" t="s">
        <v>412</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413</v>
      </c>
      <c r="M8" s="63"/>
      <c r="N8" s="63"/>
      <c r="O8" s="63"/>
      <c r="P8" s="1279"/>
      <c r="Q8" s="1279"/>
      <c r="R8" s="209">
        <v>1</v>
      </c>
      <c r="S8" s="709" t="e">
        <f>$K8</f>
        <v>#N/A</v>
      </c>
      <c r="T8" s="765"/>
      <c r="U8" s="171"/>
      <c r="V8" s="306"/>
      <c r="W8" s="191"/>
      <c r="X8" s="306"/>
      <c r="Y8" s="728"/>
      <c r="Z8" s="1280"/>
      <c r="AA8" s="1158" t="s">
        <v>66</v>
      </c>
      <c r="AB8" s="1280"/>
      <c r="AC8" s="1158" t="s">
        <v>66</v>
      </c>
      <c r="AD8" s="306"/>
      <c r="AE8" s="191"/>
      <c r="AF8" s="306"/>
      <c r="AG8" s="728"/>
      <c r="AH8" s="1280"/>
      <c r="AI8" s="1158" t="s">
        <v>66</v>
      </c>
      <c r="AJ8" s="1280"/>
      <c r="AK8" s="1158" t="s">
        <v>66</v>
      </c>
      <c r="AL8" s="191"/>
      <c r="AM8" s="1298" t="s">
        <v>414</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8"/>
      <c r="AB9" s="1281"/>
      <c r="AC9" s="1158"/>
      <c r="AD9" s="191"/>
      <c r="AE9" s="191"/>
      <c r="AF9" s="191"/>
      <c r="AG9" s="192" t="str">
        <f>AH8&amp;"-"&amp;AJ8</f>
        <v>-</v>
      </c>
      <c r="AH9" s="1281"/>
      <c r="AI9" s="1158"/>
      <c r="AJ9" s="1281"/>
      <c r="AK9" s="1158"/>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6"/>
      <c r="F11" s="1276"/>
      <c r="G11" s="1276"/>
      <c r="H11" s="1276"/>
      <c r="I11" s="1277"/>
      <c r="J11" s="769"/>
      <c r="K11" s="769"/>
      <c r="L11" s="770"/>
      <c r="M11" s="63"/>
      <c r="P11" s="1279"/>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421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422</v>
      </c>
      <c r="P22" s="506"/>
      <c r="Q22" s="772"/>
      <c r="R22" s="772"/>
      <c r="S22" s="426"/>
      <c r="T22" s="63" t="s">
        <v>423</v>
      </c>
      <c r="AA22" s="82" t="s">
        <v>424</v>
      </c>
      <c r="AC22" s="82" t="s">
        <v>425</v>
      </c>
      <c r="AD22" s="63" t="s">
        <v>423</v>
      </c>
      <c r="AI22" s="82" t="s">
        <v>426</v>
      </c>
      <c r="AK22" s="82" t="s">
        <v>425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14</v>
      </c>
    </row>
    <row r="27" spans="1:45" ht="14.65" customHeight="1">
      <c r="Q27" s="28"/>
      <c r="R27" s="28"/>
      <c r="S27" s="1229" t="str">
        <f>IF(org=0,"Не определено",org)</f>
        <v>ООО "Инженерные сети"</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427</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428</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429</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430</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431</v>
      </c>
      <c r="AD36" s="11"/>
      <c r="AE36" s="11"/>
      <c r="AF36" s="11"/>
      <c r="AG36" s="11"/>
      <c r="AH36" s="11"/>
      <c r="AI36" s="11"/>
      <c r="AJ36" s="11"/>
      <c r="AK36" s="68" t="s">
        <v>431</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65" customHeight="1">
      <c r="Q39" s="28"/>
      <c r="R39" s="28"/>
      <c r="S39" s="1288" t="s">
        <v>88</v>
      </c>
      <c r="T39" s="1237" t="s">
        <v>432</v>
      </c>
      <c r="U39" s="172"/>
      <c r="V39" s="1289" t="s">
        <v>433</v>
      </c>
      <c r="W39" s="1290"/>
      <c r="X39" s="1290"/>
      <c r="Y39" s="1290"/>
      <c r="Z39" s="1290"/>
      <c r="AA39" s="1290"/>
      <c r="AB39" s="1291"/>
      <c r="AC39" s="1292" t="s">
        <v>434</v>
      </c>
      <c r="AD39" s="1289" t="s">
        <v>433</v>
      </c>
      <c r="AE39" s="1290"/>
      <c r="AF39" s="1290"/>
      <c r="AG39" s="1290"/>
      <c r="AH39" s="1290"/>
      <c r="AI39" s="1290"/>
      <c r="AJ39" s="1291"/>
      <c r="AK39" s="1292" t="s">
        <v>435</v>
      </c>
      <c r="AL39" s="1295" t="s">
        <v>436</v>
      </c>
      <c r="AM39" s="1148"/>
      <c r="AS39" s="11">
        <v>14</v>
      </c>
    </row>
    <row r="40" spans="1:45" ht="35.65" customHeight="1">
      <c r="Q40" s="28"/>
      <c r="R40" s="28"/>
      <c r="S40" s="1288"/>
      <c r="T40" s="1237"/>
      <c r="U40" s="607"/>
      <c r="V40" s="1207" t="s">
        <v>437</v>
      </c>
      <c r="W40" s="1284" t="s">
        <v>438</v>
      </c>
      <c r="X40" s="1129" t="s">
        <v>439</v>
      </c>
      <c r="Y40" s="1128"/>
      <c r="Z40" s="1129" t="s">
        <v>453</v>
      </c>
      <c r="AA40" s="1135"/>
      <c r="AB40" s="1128"/>
      <c r="AC40" s="1293"/>
      <c r="AD40" s="1207" t="s">
        <v>437</v>
      </c>
      <c r="AE40" s="1284" t="s">
        <v>438</v>
      </c>
      <c r="AF40" s="1129" t="s">
        <v>439</v>
      </c>
      <c r="AG40" s="1128"/>
      <c r="AH40" s="1129" t="s">
        <v>440</v>
      </c>
      <c r="AI40" s="1135"/>
      <c r="AJ40" s="1128"/>
      <c r="AK40" s="1293"/>
      <c r="AL40" s="1296"/>
      <c r="AM40" s="1148"/>
      <c r="AS40" s="11">
        <v>34</v>
      </c>
    </row>
    <row r="41" spans="1:45" ht="35.65" customHeight="1">
      <c r="A41" s="82"/>
      <c r="B41" s="82" t="s">
        <v>141</v>
      </c>
      <c r="C41" s="82" t="s">
        <v>142</v>
      </c>
      <c r="D41" s="82" t="s">
        <v>143</v>
      </c>
      <c r="E41" s="770" t="s">
        <v>441</v>
      </c>
      <c r="F41" s="770" t="s">
        <v>442</v>
      </c>
      <c r="G41" s="770" t="s">
        <v>443</v>
      </c>
      <c r="H41" s="770" t="s">
        <v>444</v>
      </c>
      <c r="I41" s="770" t="s">
        <v>445</v>
      </c>
      <c r="J41" s="770" t="s">
        <v>446</v>
      </c>
      <c r="K41" s="770" t="s">
        <v>447</v>
      </c>
      <c r="L41" s="770" t="s">
        <v>422</v>
      </c>
      <c r="Q41" s="28"/>
      <c r="R41" s="28"/>
      <c r="S41" s="1288"/>
      <c r="T41" s="1237"/>
      <c r="U41" s="173"/>
      <c r="V41" s="1261"/>
      <c r="W41" s="1285"/>
      <c r="X41" s="39" t="s">
        <v>448</v>
      </c>
      <c r="Y41" s="39" t="s">
        <v>449</v>
      </c>
      <c r="Z41" s="39" t="s">
        <v>450</v>
      </c>
      <c r="AA41" s="1242" t="s">
        <v>451</v>
      </c>
      <c r="AB41" s="1255"/>
      <c r="AC41" s="1294"/>
      <c r="AD41" s="1261"/>
      <c r="AE41" s="1285"/>
      <c r="AF41" s="39" t="s">
        <v>448</v>
      </c>
      <c r="AG41" s="39" t="s">
        <v>449</v>
      </c>
      <c r="AH41" s="39" t="s">
        <v>450</v>
      </c>
      <c r="AI41" s="1242" t="s">
        <v>451</v>
      </c>
      <c r="AJ41" s="1255"/>
      <c r="AK41" s="1294"/>
      <c r="AL41" s="1297"/>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115</v>
      </c>
      <c r="T42" s="726" t="s">
        <v>103</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69" t="s">
        <v>167</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129</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167</v>
      </c>
      <c r="B44" s="769" t="s">
        <v>168</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402</v>
      </c>
      <c r="AO44" s="69"/>
      <c r="AP44" s="69" t="str">
        <f t="shared" si="1"/>
        <v>Территория действия тарифа</v>
      </c>
      <c r="AQ44" s="69"/>
      <c r="AR44" s="69"/>
      <c r="AS44" s="11">
        <v>21</v>
      </c>
    </row>
    <row r="45" spans="1:45" ht="24" customHeight="1">
      <c r="A45" s="769" t="s">
        <v>167</v>
      </c>
      <c r="B45" s="769" t="s">
        <v>168</v>
      </c>
      <c r="C45" s="769" t="s">
        <v>169</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403</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404</v>
      </c>
      <c r="AO45" s="69"/>
      <c r="AP45" s="69" t="str">
        <f t="shared" si="1"/>
        <v xml:space="preserve">Наименование системы теплоснабжения </v>
      </c>
      <c r="AQ45" s="69"/>
      <c r="AR45" s="69"/>
      <c r="AS45" s="11">
        <v>23</v>
      </c>
    </row>
    <row r="46" spans="1:45" ht="21.95" customHeight="1">
      <c r="A46" s="769" t="s">
        <v>167</v>
      </c>
      <c r="B46" s="769" t="s">
        <v>168</v>
      </c>
      <c r="C46" s="769" t="s">
        <v>169</v>
      </c>
      <c r="D46" s="769" t="s">
        <v>170</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405</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406</v>
      </c>
      <c r="AO46" s="69"/>
      <c r="AP46" s="69" t="str">
        <f t="shared" si="1"/>
        <v xml:space="preserve">Источник тепловой энергии  </v>
      </c>
      <c r="AQ46" s="69"/>
      <c r="AR46" s="69"/>
      <c r="AS46" s="11">
        <v>21</v>
      </c>
    </row>
    <row r="47" spans="1:45" ht="49.5" customHeight="1">
      <c r="A47" s="769" t="s">
        <v>167</v>
      </c>
      <c r="B47" s="769" t="s">
        <v>168</v>
      </c>
      <c r="C47" s="769" t="s">
        <v>169</v>
      </c>
      <c r="D47" s="769" t="s">
        <v>170</v>
      </c>
      <c r="E47" s="1276"/>
      <c r="F47" s="1276"/>
      <c r="G47" s="1276"/>
      <c r="H47" s="1276"/>
      <c r="I47" s="1277" t="str">
        <f>S46&amp;".1"</f>
        <v>....1</v>
      </c>
      <c r="J47" s="769"/>
      <c r="K47" s="769"/>
      <c r="L47" s="770" t="s">
        <v>407</v>
      </c>
      <c r="P47" s="1279">
        <v>1</v>
      </c>
      <c r="Q47" s="122"/>
      <c r="R47" s="208"/>
      <c r="S47" s="709" t="str">
        <f>$I47</f>
        <v>....1</v>
      </c>
      <c r="T47" s="164" t="s">
        <v>408</v>
      </c>
      <c r="U47" s="171"/>
      <c r="V47" s="1263"/>
      <c r="W47" s="1264"/>
      <c r="X47" s="1264"/>
      <c r="Y47" s="1264"/>
      <c r="Z47" s="1264"/>
      <c r="AA47" s="1264"/>
      <c r="AB47" s="1264"/>
      <c r="AC47" s="1265"/>
      <c r="AD47" s="1263"/>
      <c r="AE47" s="1264"/>
      <c r="AF47" s="1264"/>
      <c r="AG47" s="1264"/>
      <c r="AH47" s="1264"/>
      <c r="AI47" s="1264"/>
      <c r="AJ47" s="1264"/>
      <c r="AK47" s="1264"/>
      <c r="AL47" s="1265"/>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167</v>
      </c>
      <c r="B48" s="769" t="s">
        <v>168</v>
      </c>
      <c r="C48" s="769" t="s">
        <v>169</v>
      </c>
      <c r="D48" s="769" t="s">
        <v>170</v>
      </c>
      <c r="E48" s="1276"/>
      <c r="F48" s="1276"/>
      <c r="G48" s="1276"/>
      <c r="H48" s="1276"/>
      <c r="I48" s="1278"/>
      <c r="J48" s="1277" t="str">
        <f>I47&amp;".1"</f>
        <v>....1.1</v>
      </c>
      <c r="K48" s="769"/>
      <c r="L48" s="770" t="s">
        <v>410</v>
      </c>
      <c r="P48" s="1279"/>
      <c r="Q48" s="1279">
        <v>1</v>
      </c>
      <c r="R48" s="209"/>
      <c r="S48" s="709" t="str">
        <f>$J48</f>
        <v>....1.1</v>
      </c>
      <c r="T48" s="165" t="s">
        <v>411</v>
      </c>
      <c r="U48" s="171"/>
      <c r="V48" s="1263"/>
      <c r="W48" s="1264"/>
      <c r="X48" s="1264"/>
      <c r="Y48" s="1264"/>
      <c r="Z48" s="1264"/>
      <c r="AA48" s="1264"/>
      <c r="AB48" s="1264"/>
      <c r="AC48" s="1265"/>
      <c r="AD48" s="1263"/>
      <c r="AE48" s="1264"/>
      <c r="AF48" s="1264"/>
      <c r="AG48" s="1264"/>
      <c r="AH48" s="1264"/>
      <c r="AI48" s="1264"/>
      <c r="AJ48" s="1264"/>
      <c r="AK48" s="1264"/>
      <c r="AL48" s="1265"/>
      <c r="AM48" s="729" t="s">
        <v>412</v>
      </c>
      <c r="AO48" s="69"/>
      <c r="AP48" s="69" t="str">
        <f t="shared" si="1"/>
        <v>Группа потребителей</v>
      </c>
      <c r="AQ48" s="69"/>
      <c r="AR48" s="69"/>
      <c r="AS48" s="11">
        <v>21</v>
      </c>
    </row>
    <row r="49" spans="1:45" ht="21.95" customHeight="1">
      <c r="A49" s="769" t="s">
        <v>167</v>
      </c>
      <c r="B49" s="769" t="s">
        <v>168</v>
      </c>
      <c r="C49" s="769" t="s">
        <v>169</v>
      </c>
      <c r="D49" s="769" t="s">
        <v>170</v>
      </c>
      <c r="E49" s="1276"/>
      <c r="F49" s="1276"/>
      <c r="G49" s="1276"/>
      <c r="H49" s="1276"/>
      <c r="I49" s="1278"/>
      <c r="J49" s="1278"/>
      <c r="K49" s="1277" t="str">
        <f>J48&amp;".1"</f>
        <v>....1.1.1</v>
      </c>
      <c r="L49" s="770" t="s">
        <v>413</v>
      </c>
      <c r="P49" s="1279"/>
      <c r="Q49" s="1279"/>
      <c r="R49" s="209">
        <v>1</v>
      </c>
      <c r="S49" s="709" t="str">
        <f>$K49</f>
        <v>....1.1.1</v>
      </c>
      <c r="T49" s="765"/>
      <c r="U49" s="171"/>
      <c r="V49" s="306"/>
      <c r="W49" s="191"/>
      <c r="X49" s="306"/>
      <c r="Y49" s="728"/>
      <c r="Z49" s="1280"/>
      <c r="AA49" s="1158" t="s">
        <v>66</v>
      </c>
      <c r="AB49" s="1280"/>
      <c r="AC49" s="1158" t="s">
        <v>66</v>
      </c>
      <c r="AD49" s="306"/>
      <c r="AE49" s="191"/>
      <c r="AF49" s="306"/>
      <c r="AG49" s="728"/>
      <c r="AH49" s="1280"/>
      <c r="AI49" s="1158" t="s">
        <v>66</v>
      </c>
      <c r="AJ49" s="1282"/>
      <c r="AK49" s="1158" t="s">
        <v>66</v>
      </c>
      <c r="AL49" s="766"/>
      <c r="AM49" s="1298" t="s">
        <v>414</v>
      </c>
      <c r="AN49" s="68" t="e">
        <f ca="1">STRCHECKDATE(V50:AL50)</f>
        <v>#NAME?</v>
      </c>
      <c r="AO49" s="69"/>
      <c r="AP49" s="69" t="str">
        <f t="shared" si="1"/>
        <v/>
      </c>
      <c r="AQ49" s="69"/>
      <c r="AR49" s="69"/>
      <c r="AS49" s="11">
        <v>21</v>
      </c>
    </row>
    <row r="50" spans="1:45" ht="1.1499999999999999" customHeight="1">
      <c r="A50" s="769" t="s">
        <v>167</v>
      </c>
      <c r="B50" s="769" t="s">
        <v>168</v>
      </c>
      <c r="C50" s="769" t="s">
        <v>169</v>
      </c>
      <c r="D50" s="769" t="s">
        <v>170</v>
      </c>
      <c r="E50" s="1276"/>
      <c r="F50" s="1276"/>
      <c r="G50" s="1276"/>
      <c r="H50" s="1276"/>
      <c r="I50" s="1278"/>
      <c r="J50" s="1278"/>
      <c r="K50" s="1277"/>
      <c r="L50" s="770"/>
      <c r="P50" s="1279"/>
      <c r="Q50" s="1279"/>
      <c r="R50" s="209"/>
      <c r="S50" s="65"/>
      <c r="T50" s="171"/>
      <c r="U50" s="171"/>
      <c r="V50" s="191"/>
      <c r="W50" s="191"/>
      <c r="X50" s="191"/>
      <c r="Y50" s="192" t="str">
        <f>Z49&amp;"-"&amp;AB49</f>
        <v>-</v>
      </c>
      <c r="Z50" s="1281"/>
      <c r="AA50" s="1158"/>
      <c r="AB50" s="1281"/>
      <c r="AC50" s="1158"/>
      <c r="AD50" s="191"/>
      <c r="AE50" s="191"/>
      <c r="AF50" s="191"/>
      <c r="AG50" s="192" t="str">
        <f>AH49&amp;"-"&amp;AJ49</f>
        <v>-</v>
      </c>
      <c r="AH50" s="1281"/>
      <c r="AI50" s="1158"/>
      <c r="AJ50" s="1283"/>
      <c r="AK50" s="1158"/>
      <c r="AL50" s="767"/>
      <c r="AM50" s="1299"/>
      <c r="AO50" s="69"/>
      <c r="AP50" s="69" t="str">
        <f t="shared" si="1"/>
        <v/>
      </c>
      <c r="AQ50" s="69"/>
      <c r="AR50" s="69"/>
      <c r="AS50" s="11">
        <v>1</v>
      </c>
    </row>
    <row r="51" spans="1:45" ht="11.45" customHeight="1">
      <c r="A51" s="769" t="s">
        <v>167</v>
      </c>
      <c r="B51" s="769" t="s">
        <v>168</v>
      </c>
      <c r="C51" s="769" t="s">
        <v>169</v>
      </c>
      <c r="D51" s="769" t="s">
        <v>170</v>
      </c>
      <c r="E51" s="1276"/>
      <c r="F51" s="1276"/>
      <c r="G51" s="1276"/>
      <c r="H51" s="1276"/>
      <c r="I51" s="1278"/>
      <c r="J51" s="1277"/>
      <c r="K51" s="769"/>
      <c r="L51" s="770"/>
      <c r="P51" s="1279"/>
      <c r="Q51" s="1279"/>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167</v>
      </c>
      <c r="B52" s="769" t="s">
        <v>168</v>
      </c>
      <c r="C52" s="769" t="s">
        <v>169</v>
      </c>
      <c r="D52" s="769" t="s">
        <v>170</v>
      </c>
      <c r="E52" s="1276"/>
      <c r="F52" s="1276"/>
      <c r="G52" s="1276"/>
      <c r="H52" s="1276"/>
      <c r="I52" s="1277"/>
      <c r="J52" s="769"/>
      <c r="K52" s="769"/>
      <c r="L52" s="770"/>
      <c r="P52" s="1279"/>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167</v>
      </c>
      <c r="B53" s="769" t="s">
        <v>168</v>
      </c>
      <c r="C53" s="769" t="s">
        <v>169</v>
      </c>
      <c r="D53" s="769" t="s">
        <v>170</v>
      </c>
      <c r="E53" s="1276"/>
      <c r="F53" s="1276"/>
      <c r="G53" s="1276"/>
      <c r="H53" s="1275"/>
      <c r="I53" s="769"/>
      <c r="J53" s="769"/>
      <c r="K53" s="769"/>
      <c r="L53" s="770"/>
      <c r="M53" s="426"/>
      <c r="N53" s="426"/>
      <c r="O53" s="63"/>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167</v>
      </c>
      <c r="B54" s="145" t="s">
        <v>168</v>
      </c>
      <c r="C54" s="145" t="s">
        <v>169</v>
      </c>
      <c r="D54" s="145"/>
      <c r="E54" s="1276"/>
      <c r="F54" s="1276"/>
      <c r="G54" s="127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167</v>
      </c>
      <c r="B55" s="145" t="s">
        <v>168</v>
      </c>
      <c r="C55" s="145"/>
      <c r="D55" s="145"/>
      <c r="E55" s="1276"/>
      <c r="F55" s="1275"/>
      <c r="G55" s="145"/>
      <c r="H55" s="145"/>
      <c r="I55" s="145"/>
      <c r="J55" s="145"/>
      <c r="K55" s="145"/>
      <c r="L55" s="346"/>
      <c r="M55" s="759"/>
      <c r="N55" s="759"/>
      <c r="P55" s="104"/>
      <c r="Q55" s="755"/>
      <c r="R55" s="104"/>
      <c r="S55" s="760"/>
      <c r="T55" s="762" t="s">
        <v>419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167</v>
      </c>
      <c r="B56" s="145"/>
      <c r="C56" s="145"/>
      <c r="D56" s="145"/>
      <c r="E56" s="1275"/>
      <c r="F56" s="145"/>
      <c r="G56" s="145"/>
      <c r="H56" s="145"/>
      <c r="I56" s="145"/>
      <c r="J56" s="145"/>
      <c r="K56" s="145"/>
      <c r="L56" s="346"/>
      <c r="M56" s="759"/>
      <c r="N56" s="759"/>
      <c r="P56" s="104"/>
      <c r="Q56" s="755"/>
      <c r="R56" s="104"/>
      <c r="S56" s="760"/>
      <c r="T56" s="762" t="s">
        <v>420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452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65.2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62</v>
      </c>
    </row>
    <row r="61" spans="1:45" ht="14.65" customHeight="1">
      <c r="O61" s="63"/>
      <c r="AS61" s="11">
        <v>14</v>
      </c>
    </row>
    <row r="62" spans="1:45" ht="18.75" customHeight="1">
      <c r="O62" s="63"/>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63"/>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29.25" customHeight="1">
      <c r="O64" s="63"/>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D6EAB-70A5-C1C2-201D-B270DA5ADE93}">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1">
        <v>1</v>
      </c>
      <c r="F2" s="731"/>
      <c r="G2" s="731"/>
      <c r="H2" s="731"/>
      <c r="I2" s="731"/>
      <c r="J2" s="731"/>
      <c r="K2" s="731"/>
      <c r="L2" s="754"/>
      <c r="M2" s="342"/>
      <c r="N2" s="342"/>
      <c r="O2" s="342"/>
      <c r="Q2" s="34"/>
      <c r="R2" s="207"/>
      <c r="S2" s="709" t="e">
        <f>INDEX(PT_DIFFERENTIATION_NUM_NTAR,MATCH(A2,PT_DIFFERENTIATION_NTAR_ID,0))</f>
        <v>#N/A</v>
      </c>
      <c r="T2" s="67" t="s">
        <v>129</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400</v>
      </c>
      <c r="AO2" s="69"/>
      <c r="AP2" s="69" t="str">
        <f t="shared" ref="AP2:AP15" si="0">IF(T2="","",T2)</f>
        <v>Наименование тарифа</v>
      </c>
      <c r="AQ2" s="69"/>
      <c r="AR2" s="69"/>
      <c r="AS2" s="11">
        <v>0</v>
      </c>
    </row>
    <row r="3" spans="1:45" ht="21" hidden="1" customHeight="1">
      <c r="A3" s="731"/>
      <c r="B3" s="731"/>
      <c r="C3" s="731"/>
      <c r="D3" s="731"/>
      <c r="E3" s="1302"/>
      <c r="F3" s="1301">
        <v>1</v>
      </c>
      <c r="G3" s="731"/>
      <c r="H3" s="731"/>
      <c r="I3" s="731"/>
      <c r="J3" s="731"/>
      <c r="K3" s="731"/>
      <c r="L3" s="754"/>
      <c r="M3" s="342"/>
      <c r="N3" s="342"/>
      <c r="O3" s="342"/>
      <c r="P3" s="58"/>
      <c r="Q3" s="204"/>
      <c r="R3" s="205"/>
      <c r="S3" s="709" t="e">
        <f>INDEX(PT_DIFFERENTIATION_NUM_TER,MATCH(B3,PT_DIFFERENTIATION_TER_ID,0))</f>
        <v>#N/A</v>
      </c>
      <c r="T3" s="177" t="s">
        <v>401</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402</v>
      </c>
      <c r="AO3" s="69"/>
      <c r="AP3" s="69" t="str">
        <f t="shared" si="0"/>
        <v>Территория действия тарифа</v>
      </c>
      <c r="AQ3" s="69"/>
      <c r="AR3" s="69"/>
      <c r="AS3" s="11">
        <v>0</v>
      </c>
    </row>
    <row r="4" spans="1:45" ht="23.25" hidden="1" customHeight="1">
      <c r="A4" s="731"/>
      <c r="B4" s="731"/>
      <c r="C4" s="731"/>
      <c r="D4" s="731"/>
      <c r="E4" s="1302"/>
      <c r="F4" s="1302"/>
      <c r="G4" s="1301">
        <v>1</v>
      </c>
      <c r="H4" s="731"/>
      <c r="I4" s="731"/>
      <c r="J4" s="731"/>
      <c r="K4" s="731"/>
      <c r="L4" s="754"/>
      <c r="M4" s="342"/>
      <c r="N4" s="342"/>
      <c r="O4" s="342"/>
      <c r="P4" s="206"/>
      <c r="Q4" s="204"/>
      <c r="R4" s="205"/>
      <c r="S4" s="709" t="e">
        <f>INDEX(PT_DIFFERENTIATION_NUM_CS,MATCH(C4,PT_DIFFERENTIATION_CS_ID,0))</f>
        <v>#N/A</v>
      </c>
      <c r="T4" s="178" t="s">
        <v>403</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404</v>
      </c>
      <c r="AO4" s="69"/>
      <c r="AP4" s="69" t="str">
        <f t="shared" si="0"/>
        <v xml:space="preserve">Наименование системы теплоснабжения </v>
      </c>
      <c r="AQ4" s="69"/>
      <c r="AR4" s="69"/>
      <c r="AS4" s="11">
        <v>0</v>
      </c>
    </row>
    <row r="5" spans="1:45" ht="21" hidden="1" customHeight="1">
      <c r="A5" s="731"/>
      <c r="B5" s="731"/>
      <c r="C5" s="731"/>
      <c r="D5" s="731"/>
      <c r="E5" s="1302"/>
      <c r="F5" s="1302"/>
      <c r="G5" s="1302"/>
      <c r="H5" s="1301">
        <v>1</v>
      </c>
      <c r="I5" s="731"/>
      <c r="J5" s="731"/>
      <c r="K5" s="731"/>
      <c r="L5" s="754"/>
      <c r="M5" s="342"/>
      <c r="N5" s="342"/>
      <c r="O5" s="342"/>
      <c r="P5" s="206"/>
      <c r="Q5" s="204"/>
      <c r="R5" s="205"/>
      <c r="S5" s="709" t="e">
        <f>INDEX(PT_DIFFERENTIATION_NUM_IST_TE,MATCH(D5,PT_DIFFERENTIATION_IST_TE_ID,0))</f>
        <v>#N/A</v>
      </c>
      <c r="T5" s="179" t="s">
        <v>405</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406</v>
      </c>
      <c r="AO5" s="69"/>
      <c r="AP5" s="69" t="str">
        <f t="shared" si="0"/>
        <v xml:space="preserve">Источник тепловой энергии  </v>
      </c>
      <c r="AQ5" s="69"/>
      <c r="AR5" s="69"/>
      <c r="AS5" s="11">
        <v>0</v>
      </c>
    </row>
    <row r="6" spans="1:45" ht="47.25" hidden="1" customHeight="1">
      <c r="A6" s="731"/>
      <c r="B6" s="731"/>
      <c r="C6" s="731"/>
      <c r="D6" s="731"/>
      <c r="E6" s="1302"/>
      <c r="F6" s="1302"/>
      <c r="G6" s="1302"/>
      <c r="H6" s="1302"/>
      <c r="I6" s="1148" t="e">
        <f>S5&amp;".1"</f>
        <v>#N/A</v>
      </c>
      <c r="J6" s="731"/>
      <c r="K6" s="731"/>
      <c r="L6" s="754" t="s">
        <v>407</v>
      </c>
      <c r="M6" s="11"/>
      <c r="P6" s="1279">
        <v>1</v>
      </c>
      <c r="Q6" s="122"/>
      <c r="R6" s="208"/>
      <c r="S6" s="709" t="e">
        <f>$I6</f>
        <v>#N/A</v>
      </c>
      <c r="T6" s="164" t="s">
        <v>408</v>
      </c>
      <c r="U6" s="171"/>
      <c r="V6" s="1263"/>
      <c r="W6" s="1264"/>
      <c r="X6" s="1264"/>
      <c r="Y6" s="1264"/>
      <c r="Z6" s="1264"/>
      <c r="AA6" s="1264"/>
      <c r="AB6" s="1264"/>
      <c r="AC6" s="1265"/>
      <c r="AD6" s="1263"/>
      <c r="AE6" s="1264"/>
      <c r="AF6" s="1264"/>
      <c r="AG6" s="1264"/>
      <c r="AH6" s="1264"/>
      <c r="AI6" s="1264"/>
      <c r="AJ6" s="1264"/>
      <c r="AK6" s="1264"/>
      <c r="AL6" s="1265"/>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2"/>
      <c r="F7" s="1302"/>
      <c r="G7" s="1302"/>
      <c r="H7" s="1302"/>
      <c r="I7" s="1129"/>
      <c r="J7" s="1148" t="e">
        <f>I6&amp;".1"</f>
        <v>#N/A</v>
      </c>
      <c r="K7" s="731"/>
      <c r="L7" s="754" t="s">
        <v>410</v>
      </c>
      <c r="M7" s="11"/>
      <c r="N7" s="11"/>
      <c r="P7" s="1279"/>
      <c r="Q7" s="1279">
        <v>1</v>
      </c>
      <c r="R7" s="209"/>
      <c r="S7" s="709" t="e">
        <f>$J7</f>
        <v>#N/A</v>
      </c>
      <c r="T7" s="165" t="s">
        <v>411</v>
      </c>
      <c r="U7" s="171"/>
      <c r="V7" s="1263"/>
      <c r="W7" s="1264"/>
      <c r="X7" s="1264"/>
      <c r="Y7" s="1264"/>
      <c r="Z7" s="1264"/>
      <c r="AA7" s="1264"/>
      <c r="AB7" s="1264"/>
      <c r="AC7" s="1265"/>
      <c r="AD7" s="1263"/>
      <c r="AE7" s="1264"/>
      <c r="AF7" s="1264"/>
      <c r="AG7" s="1264"/>
      <c r="AH7" s="1264"/>
      <c r="AI7" s="1264"/>
      <c r="AJ7" s="1264"/>
      <c r="AK7" s="1264"/>
      <c r="AL7" s="1265"/>
      <c r="AM7" s="729" t="s">
        <v>412</v>
      </c>
      <c r="AO7" s="69"/>
      <c r="AP7" s="69" t="str">
        <f t="shared" si="0"/>
        <v>Группа потребителей</v>
      </c>
      <c r="AQ7" s="69"/>
      <c r="AR7" s="69"/>
      <c r="AS7" s="11">
        <v>0</v>
      </c>
    </row>
    <row r="8" spans="1:45" ht="21" hidden="1" customHeight="1">
      <c r="A8" s="731"/>
      <c r="B8" s="731"/>
      <c r="C8" s="731"/>
      <c r="D8" s="731"/>
      <c r="E8" s="1302"/>
      <c r="F8" s="1302"/>
      <c r="G8" s="1302"/>
      <c r="H8" s="1302"/>
      <c r="I8" s="1129"/>
      <c r="J8" s="1129"/>
      <c r="K8" s="1148" t="e">
        <f>J7&amp;".1"</f>
        <v>#N/A</v>
      </c>
      <c r="L8" s="754" t="s">
        <v>413</v>
      </c>
      <c r="M8" s="11"/>
      <c r="N8" s="11"/>
      <c r="O8" s="11"/>
      <c r="P8" s="1279"/>
      <c r="Q8" s="1279"/>
      <c r="R8" s="209">
        <v>1</v>
      </c>
      <c r="S8" s="709" t="e">
        <f>$K8</f>
        <v>#N/A</v>
      </c>
      <c r="T8" s="765"/>
      <c r="U8" s="171"/>
      <c r="V8" s="306"/>
      <c r="W8" s="191"/>
      <c r="X8" s="306"/>
      <c r="Y8" s="728"/>
      <c r="Z8" s="1280"/>
      <c r="AA8" s="1158" t="s">
        <v>66</v>
      </c>
      <c r="AB8" s="1280"/>
      <c r="AC8" s="1158" t="s">
        <v>66</v>
      </c>
      <c r="AD8" s="306"/>
      <c r="AE8" s="191"/>
      <c r="AF8" s="306"/>
      <c r="AG8" s="728"/>
      <c r="AH8" s="1280"/>
      <c r="AI8" s="1158" t="s">
        <v>66</v>
      </c>
      <c r="AJ8" s="1280"/>
      <c r="AK8" s="1158" t="s">
        <v>66</v>
      </c>
      <c r="AL8" s="191"/>
      <c r="AM8" s="1298" t="s">
        <v>414</v>
      </c>
      <c r="AN8" s="68" t="e">
        <f ca="1">STRCHECKDATE(V9:AL9)</f>
        <v>#NAME?</v>
      </c>
      <c r="AO8" s="69"/>
      <c r="AP8" s="69" t="str">
        <f t="shared" si="0"/>
        <v/>
      </c>
      <c r="AQ8" s="69"/>
      <c r="AR8" s="69"/>
      <c r="AS8" s="11">
        <v>0</v>
      </c>
    </row>
    <row r="9" spans="1:45" ht="0.75" hidden="1" customHeight="1">
      <c r="A9" s="731"/>
      <c r="B9" s="731"/>
      <c r="C9" s="731"/>
      <c r="D9" s="731"/>
      <c r="E9" s="1302"/>
      <c r="F9" s="1302"/>
      <c r="G9" s="1302"/>
      <c r="H9" s="1302"/>
      <c r="I9" s="1129"/>
      <c r="J9" s="1129"/>
      <c r="K9" s="1148"/>
      <c r="L9" s="754"/>
      <c r="M9" s="11"/>
      <c r="N9" s="11"/>
      <c r="O9" s="11"/>
      <c r="P9" s="1279"/>
      <c r="Q9" s="1279"/>
      <c r="R9" s="209"/>
      <c r="S9" s="65"/>
      <c r="T9" s="171"/>
      <c r="U9" s="171"/>
      <c r="V9" s="191"/>
      <c r="W9" s="191"/>
      <c r="X9" s="191"/>
      <c r="Y9" s="192" t="str">
        <f>Z8&amp;"-"&amp;AB8</f>
        <v>-</v>
      </c>
      <c r="Z9" s="1281"/>
      <c r="AA9" s="1158"/>
      <c r="AB9" s="1281"/>
      <c r="AC9" s="1158"/>
      <c r="AD9" s="191"/>
      <c r="AE9" s="191"/>
      <c r="AF9" s="191"/>
      <c r="AG9" s="192" t="str">
        <f>AH8&amp;"-"&amp;AJ8</f>
        <v>-</v>
      </c>
      <c r="AH9" s="1281"/>
      <c r="AI9" s="1158"/>
      <c r="AJ9" s="1281"/>
      <c r="AK9" s="1158"/>
      <c r="AL9" s="191"/>
      <c r="AM9" s="1299"/>
      <c r="AO9" s="69"/>
      <c r="AP9" s="69" t="str">
        <f t="shared" si="0"/>
        <v/>
      </c>
      <c r="AQ9" s="69"/>
      <c r="AR9" s="69"/>
      <c r="AS9" s="11">
        <v>0</v>
      </c>
    </row>
    <row r="10" spans="1:45" ht="15" hidden="1" customHeight="1">
      <c r="A10" s="731"/>
      <c r="B10" s="731"/>
      <c r="C10" s="731"/>
      <c r="D10" s="731"/>
      <c r="E10" s="1302"/>
      <c r="F10" s="1302"/>
      <c r="G10" s="1302"/>
      <c r="H10" s="1302"/>
      <c r="I10" s="1129"/>
      <c r="J10" s="1148"/>
      <c r="K10" s="731"/>
      <c r="L10" s="754"/>
      <c r="M10" s="11"/>
      <c r="N10" s="11"/>
      <c r="P10" s="1279"/>
      <c r="Q10" s="1279"/>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2"/>
      <c r="F11" s="1302"/>
      <c r="G11" s="1302"/>
      <c r="H11" s="1302"/>
      <c r="I11" s="1148"/>
      <c r="J11" s="731"/>
      <c r="K11" s="731"/>
      <c r="L11" s="754"/>
      <c r="M11" s="11"/>
      <c r="P11" s="1279"/>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2"/>
      <c r="F12" s="1302"/>
      <c r="G12" s="1302"/>
      <c r="H12" s="1301"/>
      <c r="I12" s="731"/>
      <c r="J12" s="731"/>
      <c r="K12" s="731"/>
      <c r="L12" s="754"/>
      <c r="M12" s="342"/>
      <c r="N12" s="342"/>
      <c r="O12" s="11"/>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02"/>
      <c r="F13" s="1302"/>
      <c r="G13" s="1301"/>
      <c r="H13" s="774"/>
      <c r="I13" s="774"/>
      <c r="J13" s="774"/>
      <c r="K13" s="774"/>
      <c r="L13" s="775"/>
      <c r="M13" s="776"/>
      <c r="N13" s="776"/>
      <c r="O13" s="20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02"/>
      <c r="F14" s="1301"/>
      <c r="G14" s="774"/>
      <c r="H14" s="774"/>
      <c r="I14" s="774"/>
      <c r="J14" s="774"/>
      <c r="K14" s="774"/>
      <c r="L14" s="775"/>
      <c r="M14" s="777"/>
      <c r="N14" s="777"/>
      <c r="O14" s="203"/>
      <c r="P14" s="104"/>
      <c r="Q14" s="755"/>
      <c r="R14" s="104"/>
      <c r="S14" s="760"/>
      <c r="T14" s="761" t="s">
        <v>419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01"/>
      <c r="F15" s="774"/>
      <c r="G15" s="774"/>
      <c r="H15" s="774"/>
      <c r="I15" s="774"/>
      <c r="J15" s="774"/>
      <c r="K15" s="774"/>
      <c r="L15" s="775"/>
      <c r="M15" s="777"/>
      <c r="N15" s="777"/>
      <c r="O15" s="203"/>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421</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422</v>
      </c>
      <c r="P22" s="506"/>
      <c r="Q22" s="772"/>
      <c r="R22" s="772"/>
      <c r="S22" s="426"/>
      <c r="T22" s="63" t="s">
        <v>423</v>
      </c>
      <c r="AA22" s="82" t="s">
        <v>424</v>
      </c>
      <c r="AC22" s="82" t="s">
        <v>425</v>
      </c>
      <c r="AD22" s="63" t="s">
        <v>423</v>
      </c>
      <c r="AI22" s="82" t="s">
        <v>426</v>
      </c>
      <c r="AK22" s="82" t="s">
        <v>425</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14</v>
      </c>
    </row>
    <row r="27" spans="1:45" ht="14.65" customHeight="1">
      <c r="Q27" s="28"/>
      <c r="R27" s="28"/>
      <c r="S27" s="1229" t="str">
        <f>IF(org=0,"Не определено",org)</f>
        <v>ООО "Инженерные сети"</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6" t="s">
        <v>427</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6" t="s">
        <v>428</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6" t="s">
        <v>429</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6" t="s">
        <v>430</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431</v>
      </c>
      <c r="AD36" s="11"/>
      <c r="AE36" s="11"/>
      <c r="AF36" s="11"/>
      <c r="AG36" s="11"/>
      <c r="AH36" s="11"/>
      <c r="AI36" s="11"/>
      <c r="AJ36" s="11"/>
      <c r="AK36" s="68" t="s">
        <v>431</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65" customHeight="1">
      <c r="Q39" s="28"/>
      <c r="R39" s="28"/>
      <c r="S39" s="1288" t="s">
        <v>88</v>
      </c>
      <c r="T39" s="1237" t="s">
        <v>432</v>
      </c>
      <c r="U39" s="172"/>
      <c r="V39" s="1289" t="s">
        <v>433</v>
      </c>
      <c r="W39" s="1290"/>
      <c r="X39" s="1290"/>
      <c r="Y39" s="1290"/>
      <c r="Z39" s="1290"/>
      <c r="AA39" s="1290"/>
      <c r="AB39" s="1291"/>
      <c r="AC39" s="1292" t="s">
        <v>434</v>
      </c>
      <c r="AD39" s="1289" t="s">
        <v>433</v>
      </c>
      <c r="AE39" s="1290"/>
      <c r="AF39" s="1290"/>
      <c r="AG39" s="1290"/>
      <c r="AH39" s="1290"/>
      <c r="AI39" s="1290"/>
      <c r="AJ39" s="1291"/>
      <c r="AK39" s="1292" t="s">
        <v>435</v>
      </c>
      <c r="AL39" s="1295" t="s">
        <v>436</v>
      </c>
      <c r="AM39" s="1148"/>
      <c r="AS39" s="11">
        <v>14</v>
      </c>
    </row>
    <row r="40" spans="1:45" ht="35.65" customHeight="1">
      <c r="Q40" s="28"/>
      <c r="R40" s="28"/>
      <c r="S40" s="1288"/>
      <c r="T40" s="1237"/>
      <c r="U40" s="607"/>
      <c r="V40" s="1207" t="s">
        <v>437</v>
      </c>
      <c r="W40" s="1284" t="s">
        <v>438</v>
      </c>
      <c r="X40" s="1129" t="s">
        <v>439</v>
      </c>
      <c r="Y40" s="1128"/>
      <c r="Z40" s="1129" t="s">
        <v>453</v>
      </c>
      <c r="AA40" s="1135"/>
      <c r="AB40" s="1128"/>
      <c r="AC40" s="1293"/>
      <c r="AD40" s="1207" t="s">
        <v>437</v>
      </c>
      <c r="AE40" s="1284" t="s">
        <v>438</v>
      </c>
      <c r="AF40" s="1129" t="s">
        <v>439</v>
      </c>
      <c r="AG40" s="1128"/>
      <c r="AH40" s="1129" t="s">
        <v>440</v>
      </c>
      <c r="AI40" s="1135"/>
      <c r="AJ40" s="1128"/>
      <c r="AK40" s="1293"/>
      <c r="AL40" s="1296"/>
      <c r="AM40" s="1148"/>
      <c r="AS40" s="11">
        <v>34</v>
      </c>
    </row>
    <row r="41" spans="1:45" ht="35.65" customHeight="1">
      <c r="A41" s="17"/>
      <c r="B41" s="17" t="s">
        <v>141</v>
      </c>
      <c r="C41" s="17" t="s">
        <v>142</v>
      </c>
      <c r="D41" s="17" t="s">
        <v>143</v>
      </c>
      <c r="E41" s="754" t="s">
        <v>441</v>
      </c>
      <c r="F41" s="754" t="s">
        <v>442</v>
      </c>
      <c r="G41" s="754" t="s">
        <v>443</v>
      </c>
      <c r="H41" s="754" t="s">
        <v>444</v>
      </c>
      <c r="I41" s="754" t="s">
        <v>445</v>
      </c>
      <c r="J41" s="754" t="s">
        <v>446</v>
      </c>
      <c r="K41" s="754" t="s">
        <v>447</v>
      </c>
      <c r="L41" s="754" t="s">
        <v>422</v>
      </c>
      <c r="Q41" s="28"/>
      <c r="R41" s="28"/>
      <c r="S41" s="1288"/>
      <c r="T41" s="1237"/>
      <c r="U41" s="173"/>
      <c r="V41" s="1261"/>
      <c r="W41" s="1285"/>
      <c r="X41" s="39" t="s">
        <v>448</v>
      </c>
      <c r="Y41" s="39" t="s">
        <v>449</v>
      </c>
      <c r="Z41" s="39" t="s">
        <v>450</v>
      </c>
      <c r="AA41" s="1242" t="s">
        <v>451</v>
      </c>
      <c r="AB41" s="1255"/>
      <c r="AC41" s="1294"/>
      <c r="AD41" s="1261"/>
      <c r="AE41" s="1285"/>
      <c r="AF41" s="39" t="s">
        <v>448</v>
      </c>
      <c r="AG41" s="39" t="s">
        <v>449</v>
      </c>
      <c r="AH41" s="39" t="s">
        <v>450</v>
      </c>
      <c r="AI41" s="1242" t="s">
        <v>451</v>
      </c>
      <c r="AJ41" s="1255"/>
      <c r="AK41" s="1294"/>
      <c r="AL41" s="1297"/>
      <c r="AM41" s="1148"/>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115</v>
      </c>
      <c r="T42" s="726" t="s">
        <v>103</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31" t="s">
        <v>216</v>
      </c>
      <c r="B43" s="731"/>
      <c r="C43" s="731"/>
      <c r="D43" s="731"/>
      <c r="E43" s="1301">
        <v>1</v>
      </c>
      <c r="F43" s="731"/>
      <c r="G43" s="731"/>
      <c r="H43" s="731"/>
      <c r="I43" s="731"/>
      <c r="J43" s="731"/>
      <c r="K43" s="731"/>
      <c r="L43" s="754"/>
      <c r="M43" s="342"/>
      <c r="N43" s="342"/>
      <c r="O43" s="342"/>
      <c r="Q43" s="34"/>
      <c r="R43" s="207"/>
      <c r="S43" s="709">
        <f>INDEX(PT_DIFFERENTIATION_NUM_NTAR,MATCH(A43,PT_DIFFERENTIATION_NTAR_ID,0))</f>
        <v>0</v>
      </c>
      <c r="T43" s="67" t="s">
        <v>129</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216</v>
      </c>
      <c r="B44" s="731" t="s">
        <v>217</v>
      </c>
      <c r="C44" s="731"/>
      <c r="D44" s="731"/>
      <c r="E44" s="1302"/>
      <c r="F44" s="1301">
        <v>1</v>
      </c>
      <c r="G44" s="731"/>
      <c r="H44" s="731"/>
      <c r="I44" s="731"/>
      <c r="J44" s="731"/>
      <c r="K44" s="731"/>
      <c r="L44" s="754"/>
      <c r="M44" s="342"/>
      <c r="N44" s="342"/>
      <c r="O44" s="342"/>
      <c r="P44" s="58"/>
      <c r="Q44" s="204"/>
      <c r="R44" s="205"/>
      <c r="S44" s="709" t="str">
        <f>INDEX(PT_DIFFERENTIATION_NUM_TER,MATCH(B44,PT_DIFFERENTIATION_TER_ID,0))</f>
        <v>.</v>
      </c>
      <c r="T44" s="177" t="s">
        <v>401</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402</v>
      </c>
      <c r="AO44" s="69"/>
      <c r="AP44" s="69" t="str">
        <f t="shared" si="1"/>
        <v>Территория действия тарифа</v>
      </c>
      <c r="AQ44" s="69"/>
      <c r="AR44" s="69"/>
      <c r="AS44" s="11">
        <v>21</v>
      </c>
    </row>
    <row r="45" spans="1:45" ht="24" customHeight="1">
      <c r="A45" s="731" t="s">
        <v>216</v>
      </c>
      <c r="B45" s="731" t="s">
        <v>217</v>
      </c>
      <c r="C45" s="731" t="s">
        <v>218</v>
      </c>
      <c r="D45" s="731"/>
      <c r="E45" s="1302"/>
      <c r="F45" s="1302"/>
      <c r="G45" s="1301">
        <v>1</v>
      </c>
      <c r="H45" s="731"/>
      <c r="I45" s="731"/>
      <c r="J45" s="731"/>
      <c r="K45" s="731"/>
      <c r="L45" s="754"/>
      <c r="M45" s="342"/>
      <c r="N45" s="342"/>
      <c r="O45" s="342"/>
      <c r="P45" s="206"/>
      <c r="Q45" s="204"/>
      <c r="R45" s="205"/>
      <c r="S45" s="709" t="str">
        <f>INDEX(PT_DIFFERENTIATION_NUM_CS,MATCH(C45,PT_DIFFERENTIATION_CS_ID,0))</f>
        <v>..</v>
      </c>
      <c r="T45" s="178" t="s">
        <v>403</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404</v>
      </c>
      <c r="AO45" s="69"/>
      <c r="AP45" s="69" t="str">
        <f t="shared" si="1"/>
        <v xml:space="preserve">Наименование системы теплоснабжения </v>
      </c>
      <c r="AQ45" s="69"/>
      <c r="AR45" s="69"/>
      <c r="AS45" s="11">
        <v>23</v>
      </c>
    </row>
    <row r="46" spans="1:45" ht="21.95" customHeight="1">
      <c r="A46" s="731" t="s">
        <v>216</v>
      </c>
      <c r="B46" s="731" t="s">
        <v>217</v>
      </c>
      <c r="C46" s="731" t="s">
        <v>218</v>
      </c>
      <c r="D46" s="731" t="s">
        <v>219</v>
      </c>
      <c r="E46" s="1302"/>
      <c r="F46" s="1302"/>
      <c r="G46" s="1302"/>
      <c r="H46" s="1301">
        <v>1</v>
      </c>
      <c r="I46" s="731"/>
      <c r="J46" s="731"/>
      <c r="K46" s="731"/>
      <c r="L46" s="754"/>
      <c r="M46" s="342"/>
      <c r="N46" s="342"/>
      <c r="O46" s="342"/>
      <c r="P46" s="206"/>
      <c r="Q46" s="204"/>
      <c r="R46" s="205"/>
      <c r="S46" s="709" t="str">
        <f>INDEX(PT_DIFFERENTIATION_NUM_IST_TE,MATCH(D46,PT_DIFFERENTIATION_IST_TE_ID,0))</f>
        <v>...</v>
      </c>
      <c r="T46" s="179" t="s">
        <v>405</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406</v>
      </c>
      <c r="AO46" s="69"/>
      <c r="AP46" s="69" t="str">
        <f t="shared" si="1"/>
        <v xml:space="preserve">Источник тепловой энергии  </v>
      </c>
      <c r="AQ46" s="69"/>
      <c r="AR46" s="69"/>
      <c r="AS46" s="11">
        <v>21</v>
      </c>
    </row>
    <row r="47" spans="1:45" ht="49.5" customHeight="1">
      <c r="A47" s="731" t="s">
        <v>216</v>
      </c>
      <c r="B47" s="731" t="s">
        <v>217</v>
      </c>
      <c r="C47" s="731" t="s">
        <v>218</v>
      </c>
      <c r="D47" s="731" t="s">
        <v>219</v>
      </c>
      <c r="E47" s="1302"/>
      <c r="F47" s="1302"/>
      <c r="G47" s="1302"/>
      <c r="H47" s="1302"/>
      <c r="I47" s="1148" t="str">
        <f>S46&amp;".1"</f>
        <v>....1</v>
      </c>
      <c r="J47" s="731"/>
      <c r="K47" s="731"/>
      <c r="L47" s="754" t="s">
        <v>407</v>
      </c>
      <c r="P47" s="1279">
        <v>1</v>
      </c>
      <c r="Q47" s="122"/>
      <c r="R47" s="208"/>
      <c r="S47" s="709" t="str">
        <f>$I47</f>
        <v>....1</v>
      </c>
      <c r="T47" s="164" t="s">
        <v>408</v>
      </c>
      <c r="U47" s="171"/>
      <c r="V47" s="1263"/>
      <c r="W47" s="1264"/>
      <c r="X47" s="1264"/>
      <c r="Y47" s="1264"/>
      <c r="Z47" s="1264"/>
      <c r="AA47" s="1264"/>
      <c r="AB47" s="1264"/>
      <c r="AC47" s="1265"/>
      <c r="AD47" s="1263"/>
      <c r="AE47" s="1264"/>
      <c r="AF47" s="1264"/>
      <c r="AG47" s="1264"/>
      <c r="AH47" s="1264"/>
      <c r="AI47" s="1264"/>
      <c r="AJ47" s="1264"/>
      <c r="AK47" s="1264"/>
      <c r="AL47" s="1265"/>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216</v>
      </c>
      <c r="B48" s="731" t="s">
        <v>217</v>
      </c>
      <c r="C48" s="731" t="s">
        <v>218</v>
      </c>
      <c r="D48" s="731" t="s">
        <v>219</v>
      </c>
      <c r="E48" s="1302"/>
      <c r="F48" s="1302"/>
      <c r="G48" s="1302"/>
      <c r="H48" s="1302"/>
      <c r="I48" s="1129"/>
      <c r="J48" s="1148" t="str">
        <f>I47&amp;".1"</f>
        <v>....1.1</v>
      </c>
      <c r="K48" s="731"/>
      <c r="L48" s="754" t="s">
        <v>410</v>
      </c>
      <c r="P48" s="1279"/>
      <c r="Q48" s="1279">
        <v>1</v>
      </c>
      <c r="R48" s="209"/>
      <c r="S48" s="709" t="str">
        <f>$J48</f>
        <v>....1.1</v>
      </c>
      <c r="T48" s="165" t="s">
        <v>411</v>
      </c>
      <c r="U48" s="171"/>
      <c r="V48" s="1263"/>
      <c r="W48" s="1264"/>
      <c r="X48" s="1264"/>
      <c r="Y48" s="1264"/>
      <c r="Z48" s="1264"/>
      <c r="AA48" s="1264"/>
      <c r="AB48" s="1264"/>
      <c r="AC48" s="1265"/>
      <c r="AD48" s="1263"/>
      <c r="AE48" s="1264"/>
      <c r="AF48" s="1264"/>
      <c r="AG48" s="1264"/>
      <c r="AH48" s="1264"/>
      <c r="AI48" s="1264"/>
      <c r="AJ48" s="1264"/>
      <c r="AK48" s="1264"/>
      <c r="AL48" s="1265"/>
      <c r="AM48" s="729" t="s">
        <v>412</v>
      </c>
      <c r="AO48" s="69"/>
      <c r="AP48" s="69" t="str">
        <f t="shared" si="1"/>
        <v>Группа потребителей</v>
      </c>
      <c r="AQ48" s="69"/>
      <c r="AR48" s="69"/>
      <c r="AS48" s="11">
        <v>21</v>
      </c>
    </row>
    <row r="49" spans="1:45" ht="21.95" customHeight="1">
      <c r="A49" s="731" t="s">
        <v>216</v>
      </c>
      <c r="B49" s="731" t="s">
        <v>217</v>
      </c>
      <c r="C49" s="731" t="s">
        <v>218</v>
      </c>
      <c r="D49" s="731" t="s">
        <v>219</v>
      </c>
      <c r="E49" s="1302"/>
      <c r="F49" s="1302"/>
      <c r="G49" s="1302"/>
      <c r="H49" s="1302"/>
      <c r="I49" s="1129"/>
      <c r="J49" s="1129"/>
      <c r="K49" s="1148" t="str">
        <f>J48&amp;".1"</f>
        <v>....1.1.1</v>
      </c>
      <c r="L49" s="754" t="s">
        <v>413</v>
      </c>
      <c r="P49" s="1279"/>
      <c r="Q49" s="1279"/>
      <c r="R49" s="209">
        <v>1</v>
      </c>
      <c r="S49" s="709" t="str">
        <f>$K49</f>
        <v>....1.1.1</v>
      </c>
      <c r="T49" s="765"/>
      <c r="U49" s="171"/>
      <c r="V49" s="306"/>
      <c r="W49" s="191"/>
      <c r="X49" s="306"/>
      <c r="Y49" s="728"/>
      <c r="Z49" s="1280"/>
      <c r="AA49" s="1158" t="s">
        <v>66</v>
      </c>
      <c r="AB49" s="1280"/>
      <c r="AC49" s="1158" t="s">
        <v>66</v>
      </c>
      <c r="AD49" s="306"/>
      <c r="AE49" s="191"/>
      <c r="AF49" s="306"/>
      <c r="AG49" s="728"/>
      <c r="AH49" s="1280"/>
      <c r="AI49" s="1158" t="s">
        <v>66</v>
      </c>
      <c r="AJ49" s="1282"/>
      <c r="AK49" s="1158" t="s">
        <v>66</v>
      </c>
      <c r="AL49" s="766"/>
      <c r="AM49" s="1298" t="s">
        <v>414</v>
      </c>
      <c r="AN49" s="68" t="e">
        <f ca="1">STRCHECKDATE(V50:AL50)</f>
        <v>#NAME?</v>
      </c>
      <c r="AO49" s="69"/>
      <c r="AP49" s="69" t="str">
        <f t="shared" si="1"/>
        <v/>
      </c>
      <c r="AQ49" s="69"/>
      <c r="AR49" s="69"/>
      <c r="AS49" s="11">
        <v>21</v>
      </c>
    </row>
    <row r="50" spans="1:45" ht="1.1499999999999999" customHeight="1">
      <c r="A50" s="731" t="s">
        <v>216</v>
      </c>
      <c r="B50" s="731" t="s">
        <v>217</v>
      </c>
      <c r="C50" s="731" t="s">
        <v>218</v>
      </c>
      <c r="D50" s="731" t="s">
        <v>219</v>
      </c>
      <c r="E50" s="1302"/>
      <c r="F50" s="1302"/>
      <c r="G50" s="1302"/>
      <c r="H50" s="1302"/>
      <c r="I50" s="1129"/>
      <c r="J50" s="1129"/>
      <c r="K50" s="1148"/>
      <c r="L50" s="754"/>
      <c r="P50" s="1279"/>
      <c r="Q50" s="1279"/>
      <c r="R50" s="209"/>
      <c r="S50" s="65"/>
      <c r="T50" s="171"/>
      <c r="U50" s="171"/>
      <c r="V50" s="191"/>
      <c r="W50" s="191"/>
      <c r="X50" s="191"/>
      <c r="Y50" s="192" t="str">
        <f>Z49&amp;"-"&amp;AB49</f>
        <v>-</v>
      </c>
      <c r="Z50" s="1281"/>
      <c r="AA50" s="1158"/>
      <c r="AB50" s="1281"/>
      <c r="AC50" s="1158"/>
      <c r="AD50" s="191"/>
      <c r="AE50" s="191"/>
      <c r="AF50" s="191"/>
      <c r="AG50" s="192" t="str">
        <f>AH49&amp;"-"&amp;AJ49</f>
        <v>-</v>
      </c>
      <c r="AH50" s="1281"/>
      <c r="AI50" s="1158"/>
      <c r="AJ50" s="1283"/>
      <c r="AK50" s="1158"/>
      <c r="AL50" s="767"/>
      <c r="AM50" s="1299"/>
      <c r="AO50" s="69"/>
      <c r="AP50" s="69" t="str">
        <f t="shared" si="1"/>
        <v/>
      </c>
      <c r="AQ50" s="69"/>
      <c r="AR50" s="69"/>
      <c r="AS50" s="11">
        <v>1</v>
      </c>
    </row>
    <row r="51" spans="1:45" ht="11.45" customHeight="1">
      <c r="A51" s="731" t="s">
        <v>216</v>
      </c>
      <c r="B51" s="731" t="s">
        <v>217</v>
      </c>
      <c r="C51" s="731" t="s">
        <v>218</v>
      </c>
      <c r="D51" s="731" t="s">
        <v>219</v>
      </c>
      <c r="E51" s="1302"/>
      <c r="F51" s="1302"/>
      <c r="G51" s="1302"/>
      <c r="H51" s="1302"/>
      <c r="I51" s="1129"/>
      <c r="J51" s="1148"/>
      <c r="K51" s="731"/>
      <c r="L51" s="754"/>
      <c r="P51" s="1279"/>
      <c r="Q51" s="1279"/>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31" t="s">
        <v>216</v>
      </c>
      <c r="B52" s="731" t="s">
        <v>217</v>
      </c>
      <c r="C52" s="731" t="s">
        <v>218</v>
      </c>
      <c r="D52" s="731" t="s">
        <v>219</v>
      </c>
      <c r="E52" s="1302"/>
      <c r="F52" s="1302"/>
      <c r="G52" s="1302"/>
      <c r="H52" s="1302"/>
      <c r="I52" s="1148"/>
      <c r="J52" s="731"/>
      <c r="K52" s="731"/>
      <c r="L52" s="754"/>
      <c r="P52" s="1279"/>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216</v>
      </c>
      <c r="B53" s="731" t="s">
        <v>217</v>
      </c>
      <c r="C53" s="731" t="s">
        <v>218</v>
      </c>
      <c r="D53" s="731" t="s">
        <v>219</v>
      </c>
      <c r="E53" s="1302"/>
      <c r="F53" s="1302"/>
      <c r="G53" s="1302"/>
      <c r="H53" s="1301"/>
      <c r="I53" s="731"/>
      <c r="J53" s="731"/>
      <c r="K53" s="731"/>
      <c r="L53" s="754"/>
      <c r="M53" s="342"/>
      <c r="N53" s="342"/>
      <c r="O53" s="11"/>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1500000000000004" customHeight="1">
      <c r="A54" s="774" t="s">
        <v>216</v>
      </c>
      <c r="B54" s="774" t="s">
        <v>217</v>
      </c>
      <c r="C54" s="774" t="s">
        <v>218</v>
      </c>
      <c r="D54" s="774"/>
      <c r="E54" s="1302"/>
      <c r="F54" s="1302"/>
      <c r="G54" s="1301"/>
      <c r="H54" s="774"/>
      <c r="I54" s="774"/>
      <c r="J54" s="774"/>
      <c r="K54" s="774"/>
      <c r="L54" s="775"/>
      <c r="M54" s="776"/>
      <c r="N54" s="776"/>
      <c r="O54" s="20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1500000000000004" customHeight="1">
      <c r="A55" s="774" t="s">
        <v>216</v>
      </c>
      <c r="B55" s="774" t="s">
        <v>217</v>
      </c>
      <c r="C55" s="774"/>
      <c r="D55" s="774"/>
      <c r="E55" s="1302"/>
      <c r="F55" s="1301"/>
      <c r="G55" s="774"/>
      <c r="H55" s="774"/>
      <c r="I55" s="774"/>
      <c r="J55" s="774"/>
      <c r="K55" s="774"/>
      <c r="L55" s="775"/>
      <c r="M55" s="777"/>
      <c r="N55" s="777"/>
      <c r="O55" s="203"/>
      <c r="P55" s="104"/>
      <c r="Q55" s="755"/>
      <c r="R55" s="104"/>
      <c r="S55" s="760"/>
      <c r="T55" s="762" t="s">
        <v>419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1500000000000004" customHeight="1">
      <c r="A56" s="774" t="s">
        <v>216</v>
      </c>
      <c r="B56" s="774"/>
      <c r="C56" s="774"/>
      <c r="D56" s="774"/>
      <c r="E56" s="1301"/>
      <c r="F56" s="774"/>
      <c r="G56" s="774"/>
      <c r="H56" s="774"/>
      <c r="I56" s="774"/>
      <c r="J56" s="774"/>
      <c r="K56" s="774"/>
      <c r="L56" s="775"/>
      <c r="M56" s="777"/>
      <c r="N56" s="777"/>
      <c r="O56" s="203"/>
      <c r="P56" s="104"/>
      <c r="Q56" s="755"/>
      <c r="R56" s="104"/>
      <c r="S56" s="760"/>
      <c r="T56" s="762" t="s">
        <v>420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1500000000000004" customHeight="1">
      <c r="A57" s="774"/>
      <c r="B57" s="774"/>
      <c r="C57" s="774"/>
      <c r="D57" s="774"/>
      <c r="E57" s="774"/>
      <c r="F57" s="774"/>
      <c r="G57" s="774"/>
      <c r="H57" s="774"/>
      <c r="I57" s="774"/>
      <c r="J57" s="774"/>
      <c r="K57" s="774"/>
      <c r="L57" s="775"/>
      <c r="M57" s="777"/>
      <c r="N57" s="777"/>
      <c r="O57" s="203"/>
      <c r="P57" s="104"/>
      <c r="Q57" s="755"/>
      <c r="R57" s="104"/>
      <c r="S57" s="760"/>
      <c r="T57" s="762" t="s">
        <v>452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11"/>
      <c r="N58" s="11"/>
      <c r="O58" s="11"/>
      <c r="P58" s="11"/>
      <c r="Q58" s="11"/>
      <c r="R58" s="11"/>
      <c r="S58" s="11"/>
      <c r="AN58" s="11"/>
      <c r="AO58" s="11"/>
      <c r="AP58" s="11"/>
      <c r="AQ58" s="11"/>
      <c r="AR58" s="11"/>
      <c r="AS58" s="11">
        <v>11</v>
      </c>
    </row>
    <row r="59" spans="1:45" ht="28.5" customHeight="1">
      <c r="O59" s="11"/>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65.25" customHeight="1">
      <c r="O60" s="11"/>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62</v>
      </c>
    </row>
    <row r="61" spans="1:45" ht="14.65" customHeight="1">
      <c r="O61" s="11"/>
      <c r="AS61" s="11">
        <v>14</v>
      </c>
    </row>
    <row r="62" spans="1:45" ht="18.75" customHeight="1">
      <c r="O62" s="11"/>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11"/>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29.25" customHeight="1">
      <c r="O64" s="11"/>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43441-7ECE-5FAE-34A7-08F091D057CB}">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1">
        <v>1</v>
      </c>
      <c r="F2" s="731"/>
      <c r="G2" s="731"/>
      <c r="H2" s="731"/>
      <c r="I2" s="731"/>
      <c r="J2" s="731"/>
      <c r="K2" s="731"/>
      <c r="L2" s="754"/>
      <c r="M2" s="342"/>
      <c r="N2" s="342"/>
      <c r="O2" s="342"/>
      <c r="Q2" s="34"/>
      <c r="R2" s="207"/>
      <c r="S2" s="709" t="e">
        <f>INDEX(PT_DIFFERENTIATION_NUM_NTAR,MATCH(A2,PT_DIFFERENTIATION_NTAR_ID,0))</f>
        <v>#N/A</v>
      </c>
      <c r="T2" s="67" t="s">
        <v>129</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400</v>
      </c>
      <c r="AO2" s="69"/>
      <c r="AP2" s="69" t="str">
        <f t="shared" ref="AP2:AP15" si="0">IF(T2="","",T2)</f>
        <v>Наименование тарифа</v>
      </c>
      <c r="AQ2" s="69"/>
      <c r="AR2" s="69"/>
      <c r="AS2" s="11">
        <v>0</v>
      </c>
    </row>
    <row r="3" spans="1:45" ht="21" hidden="1" customHeight="1">
      <c r="A3" s="731"/>
      <c r="B3" s="731"/>
      <c r="C3" s="731"/>
      <c r="D3" s="731"/>
      <c r="E3" s="1302"/>
      <c r="F3" s="1301">
        <v>1</v>
      </c>
      <c r="G3" s="731"/>
      <c r="H3" s="731"/>
      <c r="I3" s="731"/>
      <c r="J3" s="731"/>
      <c r="K3" s="731"/>
      <c r="L3" s="754"/>
      <c r="M3" s="342"/>
      <c r="N3" s="342"/>
      <c r="O3" s="342"/>
      <c r="P3" s="58"/>
      <c r="Q3" s="204"/>
      <c r="R3" s="205"/>
      <c r="S3" s="709" t="e">
        <f>INDEX(PT_DIFFERENTIATION_NUM_TER,MATCH(B3,PT_DIFFERENTIATION_TER_ID,0))</f>
        <v>#N/A</v>
      </c>
      <c r="T3" s="177" t="s">
        <v>401</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402</v>
      </c>
      <c r="AO3" s="69"/>
      <c r="AP3" s="69" t="str">
        <f t="shared" si="0"/>
        <v>Территория действия тарифа</v>
      </c>
      <c r="AQ3" s="69"/>
      <c r="AR3" s="69"/>
      <c r="AS3" s="11">
        <v>0</v>
      </c>
    </row>
    <row r="4" spans="1:45" ht="23.25" hidden="1" customHeight="1">
      <c r="A4" s="731"/>
      <c r="B4" s="731"/>
      <c r="C4" s="731"/>
      <c r="D4" s="731"/>
      <c r="E4" s="1302"/>
      <c r="F4" s="1302"/>
      <c r="G4" s="1301">
        <v>1</v>
      </c>
      <c r="H4" s="731"/>
      <c r="I4" s="731"/>
      <c r="J4" s="731"/>
      <c r="K4" s="731"/>
      <c r="L4" s="754"/>
      <c r="M4" s="342"/>
      <c r="N4" s="342"/>
      <c r="O4" s="342"/>
      <c r="P4" s="206"/>
      <c r="Q4" s="204"/>
      <c r="R4" s="205"/>
      <c r="S4" s="709" t="e">
        <f>INDEX(PT_DIFFERENTIATION_NUM_CS,MATCH(C4,PT_DIFFERENTIATION_CS_ID,0))</f>
        <v>#N/A</v>
      </c>
      <c r="T4" s="178" t="s">
        <v>403</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404</v>
      </c>
      <c r="AO4" s="69"/>
      <c r="AP4" s="69" t="str">
        <f t="shared" si="0"/>
        <v xml:space="preserve">Наименование системы теплоснабжения </v>
      </c>
      <c r="AQ4" s="69"/>
      <c r="AR4" s="69"/>
      <c r="AS4" s="11">
        <v>0</v>
      </c>
    </row>
    <row r="5" spans="1:45" ht="21" hidden="1" customHeight="1">
      <c r="A5" s="731"/>
      <c r="B5" s="731"/>
      <c r="C5" s="731"/>
      <c r="D5" s="731"/>
      <c r="E5" s="1302"/>
      <c r="F5" s="1302"/>
      <c r="G5" s="1302"/>
      <c r="H5" s="1301">
        <v>1</v>
      </c>
      <c r="I5" s="731"/>
      <c r="J5" s="731"/>
      <c r="K5" s="731"/>
      <c r="L5" s="754"/>
      <c r="M5" s="342"/>
      <c r="N5" s="342"/>
      <c r="O5" s="342"/>
      <c r="P5" s="206"/>
      <c r="Q5" s="204"/>
      <c r="R5" s="205"/>
      <c r="S5" s="709" t="e">
        <f>INDEX(PT_DIFFERENTIATION_NUM_IST_TE,MATCH(D5,PT_DIFFERENTIATION_IST_TE_ID,0))</f>
        <v>#N/A</v>
      </c>
      <c r="T5" s="179" t="s">
        <v>405</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406</v>
      </c>
      <c r="AO5" s="69"/>
      <c r="AP5" s="69" t="str">
        <f t="shared" si="0"/>
        <v xml:space="preserve">Источник тепловой энергии  </v>
      </c>
      <c r="AQ5" s="69"/>
      <c r="AR5" s="69"/>
      <c r="AS5" s="11">
        <v>0</v>
      </c>
    </row>
    <row r="6" spans="1:45" ht="47.25" hidden="1" customHeight="1">
      <c r="A6" s="731"/>
      <c r="B6" s="731"/>
      <c r="C6" s="731"/>
      <c r="D6" s="731"/>
      <c r="E6" s="1302"/>
      <c r="F6" s="1302"/>
      <c r="G6" s="1302"/>
      <c r="H6" s="1302"/>
      <c r="I6" s="1148" t="e">
        <f>S5&amp;".1"</f>
        <v>#N/A</v>
      </c>
      <c r="J6" s="731"/>
      <c r="K6" s="731"/>
      <c r="L6" s="754" t="s">
        <v>407</v>
      </c>
      <c r="M6" s="11"/>
      <c r="P6" s="1279">
        <v>1</v>
      </c>
      <c r="Q6" s="122"/>
      <c r="R6" s="208"/>
      <c r="S6" s="709" t="e">
        <f>$I6</f>
        <v>#N/A</v>
      </c>
      <c r="T6" s="164" t="s">
        <v>408</v>
      </c>
      <c r="U6" s="171"/>
      <c r="V6" s="1263"/>
      <c r="W6" s="1264"/>
      <c r="X6" s="1264"/>
      <c r="Y6" s="1264"/>
      <c r="Z6" s="1264"/>
      <c r="AA6" s="1264"/>
      <c r="AB6" s="1264"/>
      <c r="AC6" s="1265"/>
      <c r="AD6" s="1263"/>
      <c r="AE6" s="1264"/>
      <c r="AF6" s="1264"/>
      <c r="AG6" s="1264"/>
      <c r="AH6" s="1264"/>
      <c r="AI6" s="1264"/>
      <c r="AJ6" s="1264"/>
      <c r="AK6" s="1264"/>
      <c r="AL6" s="1265"/>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2"/>
      <c r="F7" s="1302"/>
      <c r="G7" s="1302"/>
      <c r="H7" s="1302"/>
      <c r="I7" s="1129"/>
      <c r="J7" s="1148" t="e">
        <f>I6&amp;".1"</f>
        <v>#N/A</v>
      </c>
      <c r="K7" s="731"/>
      <c r="L7" s="754" t="s">
        <v>410</v>
      </c>
      <c r="M7" s="11"/>
      <c r="N7" s="11"/>
      <c r="P7" s="1279"/>
      <c r="Q7" s="1279">
        <v>1</v>
      </c>
      <c r="R7" s="209"/>
      <c r="S7" s="709" t="e">
        <f>$J7</f>
        <v>#N/A</v>
      </c>
      <c r="T7" s="165" t="s">
        <v>411</v>
      </c>
      <c r="U7" s="171"/>
      <c r="V7" s="1263"/>
      <c r="W7" s="1264"/>
      <c r="X7" s="1264"/>
      <c r="Y7" s="1264"/>
      <c r="Z7" s="1264"/>
      <c r="AA7" s="1264"/>
      <c r="AB7" s="1264"/>
      <c r="AC7" s="1265"/>
      <c r="AD7" s="1263"/>
      <c r="AE7" s="1264"/>
      <c r="AF7" s="1264"/>
      <c r="AG7" s="1264"/>
      <c r="AH7" s="1264"/>
      <c r="AI7" s="1264"/>
      <c r="AJ7" s="1264"/>
      <c r="AK7" s="1264"/>
      <c r="AL7" s="1265"/>
      <c r="AM7" s="729" t="s">
        <v>412</v>
      </c>
      <c r="AO7" s="69"/>
      <c r="AP7" s="69" t="str">
        <f t="shared" si="0"/>
        <v>Группа потребителей</v>
      </c>
      <c r="AQ7" s="69"/>
      <c r="AR7" s="69"/>
      <c r="AS7" s="11">
        <v>0</v>
      </c>
    </row>
    <row r="8" spans="1:45" ht="21" hidden="1" customHeight="1">
      <c r="A8" s="731"/>
      <c r="B8" s="731"/>
      <c r="C8" s="731"/>
      <c r="D8" s="731"/>
      <c r="E8" s="1302"/>
      <c r="F8" s="1302"/>
      <c r="G8" s="1302"/>
      <c r="H8" s="1302"/>
      <c r="I8" s="1129"/>
      <c r="J8" s="1129"/>
      <c r="K8" s="1148" t="e">
        <f>J7&amp;".1"</f>
        <v>#N/A</v>
      </c>
      <c r="L8" s="754" t="s">
        <v>413</v>
      </c>
      <c r="M8" s="11"/>
      <c r="N8" s="11"/>
      <c r="O8" s="11"/>
      <c r="P8" s="1279"/>
      <c r="Q8" s="1279"/>
      <c r="R8" s="209">
        <v>1</v>
      </c>
      <c r="S8" s="709" t="e">
        <f>$K8</f>
        <v>#N/A</v>
      </c>
      <c r="T8" s="765"/>
      <c r="U8" s="171"/>
      <c r="V8" s="306"/>
      <c r="W8" s="191"/>
      <c r="X8" s="306"/>
      <c r="Y8" s="728"/>
      <c r="Z8" s="1280"/>
      <c r="AA8" s="1158" t="s">
        <v>66</v>
      </c>
      <c r="AB8" s="1280"/>
      <c r="AC8" s="1158" t="s">
        <v>66</v>
      </c>
      <c r="AD8" s="306"/>
      <c r="AE8" s="191"/>
      <c r="AF8" s="306"/>
      <c r="AG8" s="728"/>
      <c r="AH8" s="1280"/>
      <c r="AI8" s="1158" t="s">
        <v>66</v>
      </c>
      <c r="AJ8" s="1280"/>
      <c r="AK8" s="1158" t="s">
        <v>66</v>
      </c>
      <c r="AL8" s="191"/>
      <c r="AM8" s="1298" t="s">
        <v>414</v>
      </c>
      <c r="AN8" s="68" t="e">
        <f ca="1">STRCHECKDATE(V9:AL9)</f>
        <v>#NAME?</v>
      </c>
      <c r="AO8" s="69"/>
      <c r="AP8" s="69" t="str">
        <f t="shared" si="0"/>
        <v/>
      </c>
      <c r="AQ8" s="69"/>
      <c r="AR8" s="69"/>
      <c r="AS8" s="11">
        <v>0</v>
      </c>
    </row>
    <row r="9" spans="1:45" ht="0.75" hidden="1" customHeight="1">
      <c r="A9" s="731"/>
      <c r="B9" s="731"/>
      <c r="C9" s="731"/>
      <c r="D9" s="731"/>
      <c r="E9" s="1302"/>
      <c r="F9" s="1302"/>
      <c r="G9" s="1302"/>
      <c r="H9" s="1302"/>
      <c r="I9" s="1129"/>
      <c r="J9" s="1129"/>
      <c r="K9" s="1148"/>
      <c r="L9" s="754"/>
      <c r="M9" s="11"/>
      <c r="N9" s="11"/>
      <c r="O9" s="11"/>
      <c r="P9" s="1279"/>
      <c r="Q9" s="1279"/>
      <c r="R9" s="209"/>
      <c r="S9" s="65"/>
      <c r="T9" s="171"/>
      <c r="U9" s="171"/>
      <c r="V9" s="191"/>
      <c r="W9" s="191"/>
      <c r="X9" s="191"/>
      <c r="Y9" s="192" t="str">
        <f>Z8&amp;"-"&amp;AB8</f>
        <v>-</v>
      </c>
      <c r="Z9" s="1281"/>
      <c r="AA9" s="1158"/>
      <c r="AB9" s="1281"/>
      <c r="AC9" s="1158"/>
      <c r="AD9" s="191"/>
      <c r="AE9" s="191"/>
      <c r="AF9" s="191"/>
      <c r="AG9" s="192" t="str">
        <f>AH8&amp;"-"&amp;AJ8</f>
        <v>-</v>
      </c>
      <c r="AH9" s="1281"/>
      <c r="AI9" s="1158"/>
      <c r="AJ9" s="1281"/>
      <c r="AK9" s="1158"/>
      <c r="AL9" s="191"/>
      <c r="AM9" s="1299"/>
      <c r="AO9" s="69"/>
      <c r="AP9" s="69" t="str">
        <f t="shared" si="0"/>
        <v/>
      </c>
      <c r="AQ9" s="69"/>
      <c r="AR9" s="69"/>
      <c r="AS9" s="11">
        <v>0</v>
      </c>
    </row>
    <row r="10" spans="1:45" ht="15" hidden="1" customHeight="1">
      <c r="A10" s="731"/>
      <c r="B10" s="731"/>
      <c r="C10" s="731"/>
      <c r="D10" s="731"/>
      <c r="E10" s="1302"/>
      <c r="F10" s="1302"/>
      <c r="G10" s="1302"/>
      <c r="H10" s="1302"/>
      <c r="I10" s="1129"/>
      <c r="J10" s="1148"/>
      <c r="K10" s="731"/>
      <c r="L10" s="754"/>
      <c r="M10" s="11"/>
      <c r="N10" s="11"/>
      <c r="P10" s="1279"/>
      <c r="Q10" s="1279"/>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2"/>
      <c r="F11" s="1302"/>
      <c r="G11" s="1302"/>
      <c r="H11" s="1302"/>
      <c r="I11" s="1148"/>
      <c r="J11" s="731"/>
      <c r="K11" s="731"/>
      <c r="L11" s="754"/>
      <c r="M11" s="11"/>
      <c r="P11" s="1279"/>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2"/>
      <c r="F12" s="1302"/>
      <c r="G12" s="1302"/>
      <c r="H12" s="1301"/>
      <c r="I12" s="731"/>
      <c r="J12" s="731"/>
      <c r="K12" s="731"/>
      <c r="L12" s="754"/>
      <c r="M12" s="342"/>
      <c r="N12" s="342"/>
      <c r="O12" s="11"/>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02"/>
      <c r="F13" s="1302"/>
      <c r="G13" s="1301"/>
      <c r="H13" s="731"/>
      <c r="I13" s="731"/>
      <c r="J13" s="731"/>
      <c r="K13" s="731"/>
      <c r="L13" s="754"/>
      <c r="M13" s="342"/>
      <c r="N13" s="342"/>
      <c r="O13" s="11"/>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02"/>
      <c r="F14" s="1301"/>
      <c r="G14" s="731"/>
      <c r="H14" s="731"/>
      <c r="I14" s="731"/>
      <c r="J14" s="731"/>
      <c r="K14" s="731"/>
      <c r="L14" s="754"/>
      <c r="M14" s="1050"/>
      <c r="N14" s="1050"/>
      <c r="O14" s="11"/>
      <c r="P14" s="104"/>
      <c r="Q14" s="755"/>
      <c r="R14" s="104"/>
      <c r="S14" s="760"/>
      <c r="T14" s="761" t="s">
        <v>419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01"/>
      <c r="F15" s="731"/>
      <c r="G15" s="731"/>
      <c r="H15" s="731"/>
      <c r="I15" s="731"/>
      <c r="J15" s="731"/>
      <c r="K15" s="731"/>
      <c r="L15" s="754"/>
      <c r="M15" s="1050"/>
      <c r="N15" s="1050"/>
      <c r="O15" s="11"/>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421</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422</v>
      </c>
      <c r="P22" s="506"/>
      <c r="Q22" s="772"/>
      <c r="R22" s="772"/>
      <c r="S22" s="426"/>
      <c r="T22" s="63" t="s">
        <v>423</v>
      </c>
      <c r="AA22" s="82" t="s">
        <v>424</v>
      </c>
      <c r="AC22" s="82" t="s">
        <v>425</v>
      </c>
      <c r="AD22" s="63" t="s">
        <v>423</v>
      </c>
      <c r="AI22" s="82" t="s">
        <v>426</v>
      </c>
      <c r="AK22" s="82" t="s">
        <v>425</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14</v>
      </c>
    </row>
    <row r="27" spans="1:45" ht="14.65" customHeight="1">
      <c r="Q27" s="28"/>
      <c r="R27" s="28"/>
      <c r="S27" s="1229" t="str">
        <f>IF(org=0,"Не определено",org)</f>
        <v>ООО "Инженерные сети"</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6" t="s">
        <v>427</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6" t="s">
        <v>428</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6" t="s">
        <v>429</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6" t="s">
        <v>430</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431</v>
      </c>
      <c r="AD36" s="11"/>
      <c r="AE36" s="11"/>
      <c r="AF36" s="11"/>
      <c r="AG36" s="11"/>
      <c r="AH36" s="11"/>
      <c r="AI36" s="11"/>
      <c r="AJ36" s="11"/>
      <c r="AK36" s="68" t="s">
        <v>431</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65" customHeight="1">
      <c r="Q39" s="28"/>
      <c r="R39" s="28"/>
      <c r="S39" s="1288" t="s">
        <v>88</v>
      </c>
      <c r="T39" s="1237" t="s">
        <v>432</v>
      </c>
      <c r="U39" s="172"/>
      <c r="V39" s="1289" t="s">
        <v>433</v>
      </c>
      <c r="W39" s="1290"/>
      <c r="X39" s="1290"/>
      <c r="Y39" s="1290"/>
      <c r="Z39" s="1290"/>
      <c r="AA39" s="1290"/>
      <c r="AB39" s="1291"/>
      <c r="AC39" s="1292" t="s">
        <v>434</v>
      </c>
      <c r="AD39" s="1289" t="s">
        <v>433</v>
      </c>
      <c r="AE39" s="1290"/>
      <c r="AF39" s="1290"/>
      <c r="AG39" s="1290"/>
      <c r="AH39" s="1290"/>
      <c r="AI39" s="1290"/>
      <c r="AJ39" s="1291"/>
      <c r="AK39" s="1292" t="s">
        <v>435</v>
      </c>
      <c r="AL39" s="1295" t="s">
        <v>436</v>
      </c>
      <c r="AM39" s="1148"/>
      <c r="AS39" s="11">
        <v>14</v>
      </c>
    </row>
    <row r="40" spans="1:45" ht="35.65" customHeight="1">
      <c r="Q40" s="28"/>
      <c r="R40" s="28"/>
      <c r="S40" s="1288"/>
      <c r="T40" s="1237"/>
      <c r="U40" s="607"/>
      <c r="V40" s="1207" t="s">
        <v>437</v>
      </c>
      <c r="W40" s="1284" t="s">
        <v>438</v>
      </c>
      <c r="X40" s="1129" t="s">
        <v>439</v>
      </c>
      <c r="Y40" s="1128"/>
      <c r="Z40" s="1129" t="s">
        <v>453</v>
      </c>
      <c r="AA40" s="1135"/>
      <c r="AB40" s="1128"/>
      <c r="AC40" s="1293"/>
      <c r="AD40" s="1207" t="s">
        <v>437</v>
      </c>
      <c r="AE40" s="1284" t="s">
        <v>438</v>
      </c>
      <c r="AF40" s="1129" t="s">
        <v>439</v>
      </c>
      <c r="AG40" s="1128"/>
      <c r="AH40" s="1129" t="s">
        <v>440</v>
      </c>
      <c r="AI40" s="1135"/>
      <c r="AJ40" s="1128"/>
      <c r="AK40" s="1293"/>
      <c r="AL40" s="1296"/>
      <c r="AM40" s="1148"/>
      <c r="AS40" s="11">
        <v>34</v>
      </c>
    </row>
    <row r="41" spans="1:45" ht="35.65" customHeight="1">
      <c r="A41" s="17"/>
      <c r="B41" s="17" t="s">
        <v>141</v>
      </c>
      <c r="C41" s="17" t="s">
        <v>142</v>
      </c>
      <c r="D41" s="17" t="s">
        <v>143</v>
      </c>
      <c r="E41" s="754" t="s">
        <v>441</v>
      </c>
      <c r="F41" s="754" t="s">
        <v>442</v>
      </c>
      <c r="G41" s="754" t="s">
        <v>443</v>
      </c>
      <c r="H41" s="754" t="s">
        <v>444</v>
      </c>
      <c r="I41" s="754" t="s">
        <v>445</v>
      </c>
      <c r="J41" s="754" t="s">
        <v>446</v>
      </c>
      <c r="K41" s="754" t="s">
        <v>447</v>
      </c>
      <c r="L41" s="754" t="s">
        <v>422</v>
      </c>
      <c r="Q41" s="28"/>
      <c r="R41" s="28"/>
      <c r="S41" s="1288"/>
      <c r="T41" s="1237"/>
      <c r="U41" s="173"/>
      <c r="V41" s="1261"/>
      <c r="W41" s="1285"/>
      <c r="X41" s="39" t="s">
        <v>448</v>
      </c>
      <c r="Y41" s="39" t="s">
        <v>449</v>
      </c>
      <c r="Z41" s="39" t="s">
        <v>450</v>
      </c>
      <c r="AA41" s="1242" t="s">
        <v>451</v>
      </c>
      <c r="AB41" s="1255"/>
      <c r="AC41" s="1294"/>
      <c r="AD41" s="1261"/>
      <c r="AE41" s="1285"/>
      <c r="AF41" s="39" t="s">
        <v>448</v>
      </c>
      <c r="AG41" s="39" t="s">
        <v>449</v>
      </c>
      <c r="AH41" s="39" t="s">
        <v>450</v>
      </c>
      <c r="AI41" s="1242" t="s">
        <v>451</v>
      </c>
      <c r="AJ41" s="1255"/>
      <c r="AK41" s="1294"/>
      <c r="AL41" s="1297"/>
      <c r="AM41" s="1148"/>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115</v>
      </c>
      <c r="T42" s="726" t="s">
        <v>103</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31" t="s">
        <v>216</v>
      </c>
      <c r="B43" s="731"/>
      <c r="C43" s="731"/>
      <c r="D43" s="731"/>
      <c r="E43" s="1301">
        <v>1</v>
      </c>
      <c r="F43" s="731"/>
      <c r="G43" s="731"/>
      <c r="H43" s="731"/>
      <c r="I43" s="731"/>
      <c r="J43" s="731"/>
      <c r="K43" s="731"/>
      <c r="L43" s="754"/>
      <c r="M43" s="342"/>
      <c r="N43" s="342"/>
      <c r="O43" s="342"/>
      <c r="Q43" s="34"/>
      <c r="R43" s="207"/>
      <c r="S43" s="709">
        <f>INDEX(PT_DIFFERENTIATION_NUM_NTAR,MATCH(A43,PT_DIFFERENTIATION_NTAR_ID,0))</f>
        <v>0</v>
      </c>
      <c r="T43" s="67" t="s">
        <v>129</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216</v>
      </c>
      <c r="B44" s="731" t="s">
        <v>217</v>
      </c>
      <c r="C44" s="731"/>
      <c r="D44" s="731"/>
      <c r="E44" s="1302"/>
      <c r="F44" s="1301">
        <v>1</v>
      </c>
      <c r="G44" s="731"/>
      <c r="H44" s="731"/>
      <c r="I44" s="731"/>
      <c r="J44" s="731"/>
      <c r="K44" s="731"/>
      <c r="L44" s="754"/>
      <c r="M44" s="342"/>
      <c r="N44" s="342"/>
      <c r="O44" s="342"/>
      <c r="P44" s="58"/>
      <c r="Q44" s="204"/>
      <c r="R44" s="205"/>
      <c r="S44" s="709" t="str">
        <f>INDEX(PT_DIFFERENTIATION_NUM_TER,MATCH(B44,PT_DIFFERENTIATION_TER_ID,0))</f>
        <v>.</v>
      </c>
      <c r="T44" s="177" t="s">
        <v>401</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402</v>
      </c>
      <c r="AO44" s="69"/>
      <c r="AP44" s="69" t="str">
        <f t="shared" si="1"/>
        <v>Территория действия тарифа</v>
      </c>
      <c r="AQ44" s="69"/>
      <c r="AR44" s="69"/>
      <c r="AS44" s="11">
        <v>21</v>
      </c>
    </row>
    <row r="45" spans="1:45" ht="24" customHeight="1">
      <c r="A45" s="731" t="s">
        <v>216</v>
      </c>
      <c r="B45" s="731" t="s">
        <v>217</v>
      </c>
      <c r="C45" s="731" t="s">
        <v>218</v>
      </c>
      <c r="D45" s="731"/>
      <c r="E45" s="1302"/>
      <c r="F45" s="1302"/>
      <c r="G45" s="1301">
        <v>1</v>
      </c>
      <c r="H45" s="731"/>
      <c r="I45" s="731"/>
      <c r="J45" s="731"/>
      <c r="K45" s="731"/>
      <c r="L45" s="754"/>
      <c r="M45" s="342"/>
      <c r="N45" s="342"/>
      <c r="O45" s="342"/>
      <c r="P45" s="206"/>
      <c r="Q45" s="204"/>
      <c r="R45" s="205"/>
      <c r="S45" s="709" t="str">
        <f>INDEX(PT_DIFFERENTIATION_NUM_CS,MATCH(C45,PT_DIFFERENTIATION_CS_ID,0))</f>
        <v>..</v>
      </c>
      <c r="T45" s="178" t="s">
        <v>403</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404</v>
      </c>
      <c r="AO45" s="69"/>
      <c r="AP45" s="69" t="str">
        <f t="shared" si="1"/>
        <v xml:space="preserve">Наименование системы теплоснабжения </v>
      </c>
      <c r="AQ45" s="69"/>
      <c r="AR45" s="69"/>
      <c r="AS45" s="11">
        <v>23</v>
      </c>
    </row>
    <row r="46" spans="1:45" ht="21.95" customHeight="1">
      <c r="A46" s="731" t="s">
        <v>216</v>
      </c>
      <c r="B46" s="731" t="s">
        <v>217</v>
      </c>
      <c r="C46" s="731" t="s">
        <v>218</v>
      </c>
      <c r="D46" s="731" t="s">
        <v>219</v>
      </c>
      <c r="E46" s="1302"/>
      <c r="F46" s="1302"/>
      <c r="G46" s="1302"/>
      <c r="H46" s="1301">
        <v>1</v>
      </c>
      <c r="I46" s="731"/>
      <c r="J46" s="731"/>
      <c r="K46" s="731"/>
      <c r="L46" s="754"/>
      <c r="M46" s="342"/>
      <c r="N46" s="342"/>
      <c r="O46" s="342"/>
      <c r="P46" s="206"/>
      <c r="Q46" s="204"/>
      <c r="R46" s="205"/>
      <c r="S46" s="709" t="str">
        <f>INDEX(PT_DIFFERENTIATION_NUM_IST_TE,MATCH(D46,PT_DIFFERENTIATION_IST_TE_ID,0))</f>
        <v>...</v>
      </c>
      <c r="T46" s="179" t="s">
        <v>405</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406</v>
      </c>
      <c r="AO46" s="69"/>
      <c r="AP46" s="69" t="str">
        <f t="shared" si="1"/>
        <v xml:space="preserve">Источник тепловой энергии  </v>
      </c>
      <c r="AQ46" s="69"/>
      <c r="AR46" s="69"/>
      <c r="AS46" s="11">
        <v>21</v>
      </c>
    </row>
    <row r="47" spans="1:45" ht="49.5" customHeight="1">
      <c r="A47" s="731" t="s">
        <v>216</v>
      </c>
      <c r="B47" s="731" t="s">
        <v>217</v>
      </c>
      <c r="C47" s="731" t="s">
        <v>218</v>
      </c>
      <c r="D47" s="731" t="s">
        <v>219</v>
      </c>
      <c r="E47" s="1302"/>
      <c r="F47" s="1302"/>
      <c r="G47" s="1302"/>
      <c r="H47" s="1302"/>
      <c r="I47" s="1148" t="str">
        <f>S46&amp;".1"</f>
        <v>....1</v>
      </c>
      <c r="J47" s="731"/>
      <c r="K47" s="731"/>
      <c r="L47" s="754" t="s">
        <v>407</v>
      </c>
      <c r="P47" s="1279">
        <v>1</v>
      </c>
      <c r="Q47" s="122"/>
      <c r="R47" s="208"/>
      <c r="S47" s="709" t="str">
        <f>$I47</f>
        <v>....1</v>
      </c>
      <c r="T47" s="164" t="s">
        <v>408</v>
      </c>
      <c r="U47" s="171"/>
      <c r="V47" s="1263"/>
      <c r="W47" s="1264"/>
      <c r="X47" s="1264"/>
      <c r="Y47" s="1264"/>
      <c r="Z47" s="1264"/>
      <c r="AA47" s="1264"/>
      <c r="AB47" s="1264"/>
      <c r="AC47" s="1265"/>
      <c r="AD47" s="1263"/>
      <c r="AE47" s="1264"/>
      <c r="AF47" s="1264"/>
      <c r="AG47" s="1264"/>
      <c r="AH47" s="1264"/>
      <c r="AI47" s="1264"/>
      <c r="AJ47" s="1264"/>
      <c r="AK47" s="1264"/>
      <c r="AL47" s="1265"/>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216</v>
      </c>
      <c r="B48" s="731" t="s">
        <v>217</v>
      </c>
      <c r="C48" s="731" t="s">
        <v>218</v>
      </c>
      <c r="D48" s="731" t="s">
        <v>219</v>
      </c>
      <c r="E48" s="1302"/>
      <c r="F48" s="1302"/>
      <c r="G48" s="1302"/>
      <c r="H48" s="1302"/>
      <c r="I48" s="1129"/>
      <c r="J48" s="1148" t="str">
        <f>I47&amp;".1"</f>
        <v>....1.1</v>
      </c>
      <c r="K48" s="731"/>
      <c r="L48" s="754" t="s">
        <v>410</v>
      </c>
      <c r="P48" s="1279"/>
      <c r="Q48" s="1279">
        <v>1</v>
      </c>
      <c r="R48" s="209"/>
      <c r="S48" s="709" t="str">
        <f>$J48</f>
        <v>....1.1</v>
      </c>
      <c r="T48" s="165" t="s">
        <v>411</v>
      </c>
      <c r="U48" s="171"/>
      <c r="V48" s="1263"/>
      <c r="W48" s="1264"/>
      <c r="X48" s="1264"/>
      <c r="Y48" s="1264"/>
      <c r="Z48" s="1264"/>
      <c r="AA48" s="1264"/>
      <c r="AB48" s="1264"/>
      <c r="AC48" s="1265"/>
      <c r="AD48" s="1263"/>
      <c r="AE48" s="1264"/>
      <c r="AF48" s="1264"/>
      <c r="AG48" s="1264"/>
      <c r="AH48" s="1264"/>
      <c r="AI48" s="1264"/>
      <c r="AJ48" s="1264"/>
      <c r="AK48" s="1264"/>
      <c r="AL48" s="1265"/>
      <c r="AM48" s="729" t="s">
        <v>412</v>
      </c>
      <c r="AO48" s="69"/>
      <c r="AP48" s="69" t="str">
        <f t="shared" si="1"/>
        <v>Группа потребителей</v>
      </c>
      <c r="AQ48" s="69"/>
      <c r="AR48" s="69"/>
      <c r="AS48" s="11">
        <v>21</v>
      </c>
    </row>
    <row r="49" spans="1:45" ht="21.95" customHeight="1">
      <c r="A49" s="731" t="s">
        <v>216</v>
      </c>
      <c r="B49" s="731" t="s">
        <v>217</v>
      </c>
      <c r="C49" s="731" t="s">
        <v>218</v>
      </c>
      <c r="D49" s="731" t="s">
        <v>219</v>
      </c>
      <c r="E49" s="1302"/>
      <c r="F49" s="1302"/>
      <c r="G49" s="1302"/>
      <c r="H49" s="1302"/>
      <c r="I49" s="1129"/>
      <c r="J49" s="1129"/>
      <c r="K49" s="1148" t="str">
        <f>J48&amp;".1"</f>
        <v>....1.1.1</v>
      </c>
      <c r="L49" s="754" t="s">
        <v>413</v>
      </c>
      <c r="P49" s="1279"/>
      <c r="Q49" s="1279"/>
      <c r="R49" s="209">
        <v>1</v>
      </c>
      <c r="S49" s="709" t="str">
        <f>$K49</f>
        <v>....1.1.1</v>
      </c>
      <c r="T49" s="765"/>
      <c r="U49" s="171"/>
      <c r="V49" s="306"/>
      <c r="W49" s="191"/>
      <c r="X49" s="306"/>
      <c r="Y49" s="728"/>
      <c r="Z49" s="1280"/>
      <c r="AA49" s="1158" t="s">
        <v>66</v>
      </c>
      <c r="AB49" s="1280"/>
      <c r="AC49" s="1158" t="s">
        <v>66</v>
      </c>
      <c r="AD49" s="306"/>
      <c r="AE49" s="191"/>
      <c r="AF49" s="306"/>
      <c r="AG49" s="728"/>
      <c r="AH49" s="1280"/>
      <c r="AI49" s="1158" t="s">
        <v>66</v>
      </c>
      <c r="AJ49" s="1282"/>
      <c r="AK49" s="1158" t="s">
        <v>66</v>
      </c>
      <c r="AL49" s="766"/>
      <c r="AM49" s="1298" t="s">
        <v>414</v>
      </c>
      <c r="AN49" s="68" t="e">
        <f ca="1">STRCHECKDATE(V50:AL50)</f>
        <v>#NAME?</v>
      </c>
      <c r="AO49" s="69"/>
      <c r="AP49" s="69" t="str">
        <f t="shared" si="1"/>
        <v/>
      </c>
      <c r="AQ49" s="69"/>
      <c r="AR49" s="69"/>
      <c r="AS49" s="11">
        <v>21</v>
      </c>
    </row>
    <row r="50" spans="1:45" ht="1.1499999999999999" customHeight="1">
      <c r="A50" s="731" t="s">
        <v>216</v>
      </c>
      <c r="B50" s="731" t="s">
        <v>217</v>
      </c>
      <c r="C50" s="731" t="s">
        <v>218</v>
      </c>
      <c r="D50" s="731" t="s">
        <v>219</v>
      </c>
      <c r="E50" s="1302"/>
      <c r="F50" s="1302"/>
      <c r="G50" s="1302"/>
      <c r="H50" s="1302"/>
      <c r="I50" s="1129"/>
      <c r="J50" s="1129"/>
      <c r="K50" s="1148"/>
      <c r="L50" s="754"/>
      <c r="P50" s="1279"/>
      <c r="Q50" s="1279"/>
      <c r="R50" s="209"/>
      <c r="S50" s="65"/>
      <c r="T50" s="171"/>
      <c r="U50" s="171"/>
      <c r="V50" s="191"/>
      <c r="W50" s="191"/>
      <c r="X50" s="191"/>
      <c r="Y50" s="192" t="str">
        <f>Z49&amp;"-"&amp;AB49</f>
        <v>-</v>
      </c>
      <c r="Z50" s="1281"/>
      <c r="AA50" s="1158"/>
      <c r="AB50" s="1281"/>
      <c r="AC50" s="1158"/>
      <c r="AD50" s="191"/>
      <c r="AE50" s="191"/>
      <c r="AF50" s="191"/>
      <c r="AG50" s="192" t="str">
        <f>AH49&amp;"-"&amp;AJ49</f>
        <v>-</v>
      </c>
      <c r="AH50" s="1281"/>
      <c r="AI50" s="1158"/>
      <c r="AJ50" s="1283"/>
      <c r="AK50" s="1158"/>
      <c r="AL50" s="767"/>
      <c r="AM50" s="1299"/>
      <c r="AO50" s="69"/>
      <c r="AP50" s="69" t="str">
        <f t="shared" si="1"/>
        <v/>
      </c>
      <c r="AQ50" s="69"/>
      <c r="AR50" s="69"/>
      <c r="AS50" s="11">
        <v>1</v>
      </c>
    </row>
    <row r="51" spans="1:45" ht="11.45" customHeight="1">
      <c r="A51" s="731" t="s">
        <v>216</v>
      </c>
      <c r="B51" s="731" t="s">
        <v>217</v>
      </c>
      <c r="C51" s="731" t="s">
        <v>218</v>
      </c>
      <c r="D51" s="731" t="s">
        <v>219</v>
      </c>
      <c r="E51" s="1302"/>
      <c r="F51" s="1302"/>
      <c r="G51" s="1302"/>
      <c r="H51" s="1302"/>
      <c r="I51" s="1129"/>
      <c r="J51" s="1148"/>
      <c r="K51" s="731"/>
      <c r="L51" s="754"/>
      <c r="P51" s="1279"/>
      <c r="Q51" s="1279"/>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31" t="s">
        <v>216</v>
      </c>
      <c r="B52" s="731" t="s">
        <v>217</v>
      </c>
      <c r="C52" s="731" t="s">
        <v>218</v>
      </c>
      <c r="D52" s="731" t="s">
        <v>219</v>
      </c>
      <c r="E52" s="1302"/>
      <c r="F52" s="1302"/>
      <c r="G52" s="1302"/>
      <c r="H52" s="1302"/>
      <c r="I52" s="1148"/>
      <c r="J52" s="731"/>
      <c r="K52" s="731"/>
      <c r="L52" s="754"/>
      <c r="P52" s="1279"/>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216</v>
      </c>
      <c r="B53" s="731" t="s">
        <v>217</v>
      </c>
      <c r="C53" s="731" t="s">
        <v>218</v>
      </c>
      <c r="D53" s="731" t="s">
        <v>219</v>
      </c>
      <c r="E53" s="1302"/>
      <c r="F53" s="1302"/>
      <c r="G53" s="1302"/>
      <c r="H53" s="1301"/>
      <c r="I53" s="731"/>
      <c r="J53" s="731"/>
      <c r="K53" s="731"/>
      <c r="L53" s="754"/>
      <c r="M53" s="342"/>
      <c r="N53" s="342"/>
      <c r="O53" s="11"/>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731" t="s">
        <v>216</v>
      </c>
      <c r="B54" s="731" t="s">
        <v>217</v>
      </c>
      <c r="C54" s="731" t="s">
        <v>218</v>
      </c>
      <c r="D54" s="731"/>
      <c r="E54" s="1302"/>
      <c r="F54" s="1302"/>
      <c r="G54" s="1301"/>
      <c r="H54" s="731"/>
      <c r="I54" s="731"/>
      <c r="J54" s="731"/>
      <c r="K54" s="731"/>
      <c r="L54" s="754"/>
      <c r="M54" s="342"/>
      <c r="N54" s="342"/>
      <c r="O54" s="11"/>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731" t="s">
        <v>216</v>
      </c>
      <c r="B55" s="731" t="s">
        <v>217</v>
      </c>
      <c r="C55" s="731"/>
      <c r="D55" s="731"/>
      <c r="E55" s="1302"/>
      <c r="F55" s="1301"/>
      <c r="G55" s="731"/>
      <c r="H55" s="731"/>
      <c r="I55" s="731"/>
      <c r="J55" s="731"/>
      <c r="K55" s="731"/>
      <c r="L55" s="754"/>
      <c r="M55" s="1050"/>
      <c r="N55" s="1050"/>
      <c r="O55" s="11"/>
      <c r="P55" s="104"/>
      <c r="Q55" s="755"/>
      <c r="R55" s="104"/>
      <c r="S55" s="760"/>
      <c r="T55" s="762" t="s">
        <v>419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731" t="s">
        <v>216</v>
      </c>
      <c r="B56" s="731"/>
      <c r="C56" s="731"/>
      <c r="D56" s="731"/>
      <c r="E56" s="1301"/>
      <c r="F56" s="731"/>
      <c r="G56" s="731"/>
      <c r="H56" s="731"/>
      <c r="I56" s="731"/>
      <c r="J56" s="731"/>
      <c r="K56" s="731"/>
      <c r="L56" s="754"/>
      <c r="M56" s="1050"/>
      <c r="N56" s="1050"/>
      <c r="O56" s="11"/>
      <c r="P56" s="104"/>
      <c r="Q56" s="755"/>
      <c r="R56" s="104"/>
      <c r="S56" s="760"/>
      <c r="T56" s="762" t="s">
        <v>420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731"/>
      <c r="B57" s="731"/>
      <c r="C57" s="731"/>
      <c r="D57" s="731"/>
      <c r="E57" s="731"/>
      <c r="F57" s="731"/>
      <c r="G57" s="731"/>
      <c r="H57" s="731"/>
      <c r="I57" s="731"/>
      <c r="J57" s="731"/>
      <c r="K57" s="731"/>
      <c r="L57" s="754"/>
      <c r="M57" s="1050"/>
      <c r="N57" s="1050"/>
      <c r="O57" s="11"/>
      <c r="P57" s="104"/>
      <c r="Q57" s="755"/>
      <c r="R57" s="104"/>
      <c r="S57" s="760"/>
      <c r="T57" s="762" t="s">
        <v>452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11"/>
      <c r="N58" s="11"/>
      <c r="O58" s="11"/>
      <c r="P58" s="11"/>
      <c r="Q58" s="11"/>
      <c r="R58" s="11"/>
      <c r="S58" s="11"/>
      <c r="AN58" s="11"/>
      <c r="AO58" s="11"/>
      <c r="AP58" s="11"/>
      <c r="AQ58" s="11"/>
      <c r="AR58" s="11"/>
      <c r="AS58" s="11">
        <v>11</v>
      </c>
    </row>
    <row r="59" spans="1:45" ht="28.5" customHeight="1">
      <c r="O59" s="11"/>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65.25" customHeight="1">
      <c r="O60" s="11"/>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62</v>
      </c>
    </row>
    <row r="61" spans="1:45" ht="14.65" customHeight="1">
      <c r="O61" s="11"/>
      <c r="AS61" s="11">
        <v>14</v>
      </c>
    </row>
    <row r="62" spans="1:45" ht="18.75" customHeight="1">
      <c r="O62" s="11"/>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11"/>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29.25" customHeight="1">
      <c r="O64" s="11"/>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0300E-AE2E-9B05-8B7C-983919DC11EB}">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400</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402</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403</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405</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406</v>
      </c>
      <c r="AO5" s="69"/>
      <c r="AP5" s="69" t="str">
        <f t="shared" si="0"/>
        <v xml:space="preserve">Источник тепловой энергии  </v>
      </c>
      <c r="AQ5" s="69"/>
      <c r="AR5" s="69"/>
      <c r="AS5" s="11">
        <v>0</v>
      </c>
    </row>
    <row r="6" spans="1:45" ht="47.25" hidden="1" customHeight="1">
      <c r="A6" s="769"/>
      <c r="B6" s="769"/>
      <c r="C6" s="769"/>
      <c r="D6" s="769"/>
      <c r="E6" s="1276"/>
      <c r="F6" s="1276"/>
      <c r="G6" s="1276"/>
      <c r="H6" s="1276"/>
      <c r="I6" s="1277" t="e">
        <f>S5&amp;".1"</f>
        <v>#N/A</v>
      </c>
      <c r="J6" s="769"/>
      <c r="K6" s="769"/>
      <c r="L6" s="770" t="s">
        <v>407</v>
      </c>
      <c r="M6" s="63"/>
      <c r="P6" s="1279">
        <v>1</v>
      </c>
      <c r="Q6" s="122"/>
      <c r="R6" s="208"/>
      <c r="S6" s="709" t="e">
        <f>$I6</f>
        <v>#N/A</v>
      </c>
      <c r="T6" s="164" t="s">
        <v>408</v>
      </c>
      <c r="U6" s="171"/>
      <c r="V6" s="1263"/>
      <c r="W6" s="1264"/>
      <c r="X6" s="1264"/>
      <c r="Y6" s="1264"/>
      <c r="Z6" s="1264"/>
      <c r="AA6" s="1264"/>
      <c r="AB6" s="1264"/>
      <c r="AC6" s="1265"/>
      <c r="AD6" s="1263"/>
      <c r="AE6" s="1264"/>
      <c r="AF6" s="1264"/>
      <c r="AG6" s="1264"/>
      <c r="AH6" s="1264"/>
      <c r="AI6" s="1264"/>
      <c r="AJ6" s="1264"/>
      <c r="AK6" s="1264"/>
      <c r="AL6" s="1265"/>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6"/>
      <c r="F7" s="1276"/>
      <c r="G7" s="1276"/>
      <c r="H7" s="1276"/>
      <c r="I7" s="1278"/>
      <c r="J7" s="1277" t="e">
        <f>I6&amp;".1"</f>
        <v>#N/A</v>
      </c>
      <c r="K7" s="769"/>
      <c r="L7" s="770" t="s">
        <v>410</v>
      </c>
      <c r="M7" s="63"/>
      <c r="N7" s="63"/>
      <c r="P7" s="1279"/>
      <c r="Q7" s="1279">
        <v>1</v>
      </c>
      <c r="R7" s="209"/>
      <c r="S7" s="709" t="e">
        <f>$J7</f>
        <v>#N/A</v>
      </c>
      <c r="T7" s="165" t="s">
        <v>411</v>
      </c>
      <c r="U7" s="171"/>
      <c r="V7" s="1263"/>
      <c r="W7" s="1264"/>
      <c r="X7" s="1264"/>
      <c r="Y7" s="1264"/>
      <c r="Z7" s="1264"/>
      <c r="AA7" s="1264"/>
      <c r="AB7" s="1264"/>
      <c r="AC7" s="1265"/>
      <c r="AD7" s="1263"/>
      <c r="AE7" s="1264"/>
      <c r="AF7" s="1264"/>
      <c r="AG7" s="1264"/>
      <c r="AH7" s="1264"/>
      <c r="AI7" s="1264"/>
      <c r="AJ7" s="1264"/>
      <c r="AK7" s="1264"/>
      <c r="AL7" s="1265"/>
      <c r="AM7" s="729" t="s">
        <v>412</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413</v>
      </c>
      <c r="M8" s="63"/>
      <c r="N8" s="63"/>
      <c r="O8" s="63"/>
      <c r="P8" s="1279"/>
      <c r="Q8" s="1279"/>
      <c r="R8" s="209">
        <v>1</v>
      </c>
      <c r="S8" s="709" t="e">
        <f>$K8</f>
        <v>#N/A</v>
      </c>
      <c r="T8" s="765"/>
      <c r="U8" s="171"/>
      <c r="V8" s="191"/>
      <c r="W8" s="306"/>
      <c r="X8" s="191"/>
      <c r="Y8" s="219"/>
      <c r="Z8" s="1280"/>
      <c r="AA8" s="1158" t="s">
        <v>66</v>
      </c>
      <c r="AB8" s="1280"/>
      <c r="AC8" s="1158" t="s">
        <v>66</v>
      </c>
      <c r="AD8" s="191"/>
      <c r="AE8" s="306"/>
      <c r="AF8" s="191"/>
      <c r="AG8" s="219"/>
      <c r="AH8" s="1280"/>
      <c r="AI8" s="1158" t="s">
        <v>66</v>
      </c>
      <c r="AJ8" s="1280"/>
      <c r="AK8" s="1158" t="s">
        <v>66</v>
      </c>
      <c r="AL8" s="191"/>
      <c r="AM8" s="1298" t="s">
        <v>414</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8"/>
      <c r="AB9" s="1281"/>
      <c r="AC9" s="1158"/>
      <c r="AD9" s="191"/>
      <c r="AE9" s="191"/>
      <c r="AF9" s="191"/>
      <c r="AG9" s="192" t="str">
        <f>AH8&amp;"-"&amp;AJ8</f>
        <v>-</v>
      </c>
      <c r="AH9" s="1281"/>
      <c r="AI9" s="1158"/>
      <c r="AJ9" s="1281"/>
      <c r="AK9" s="1158"/>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6"/>
      <c r="F11" s="1276"/>
      <c r="G11" s="1276"/>
      <c r="H11" s="1276"/>
      <c r="I11" s="1277"/>
      <c r="J11" s="769"/>
      <c r="K11" s="769"/>
      <c r="L11" s="770"/>
      <c r="M11" s="63"/>
      <c r="P11" s="1279"/>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421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422</v>
      </c>
      <c r="P22" s="506"/>
      <c r="Q22" s="772"/>
      <c r="R22" s="772"/>
      <c r="S22" s="426"/>
      <c r="T22" s="63" t="s">
        <v>423</v>
      </c>
      <c r="AA22" s="82" t="s">
        <v>424</v>
      </c>
      <c r="AC22" s="82" t="s">
        <v>425</v>
      </c>
      <c r="AD22" s="63" t="s">
        <v>423</v>
      </c>
      <c r="AI22" s="82" t="s">
        <v>426</v>
      </c>
      <c r="AK22" s="82" t="s">
        <v>425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29.2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28</v>
      </c>
    </row>
    <row r="27" spans="1:45" ht="14.65" customHeight="1">
      <c r="Q27" s="28"/>
      <c r="R27" s="28"/>
      <c r="S27" s="1229" t="str">
        <f>IF(org=0,"Не определено",org)</f>
        <v>ООО "Инженерные сети"</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427</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428</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429</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430</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431</v>
      </c>
      <c r="AD36" s="11"/>
      <c r="AE36" s="11"/>
      <c r="AF36" s="11"/>
      <c r="AG36" s="11"/>
      <c r="AH36" s="11"/>
      <c r="AI36" s="11"/>
      <c r="AJ36" s="11"/>
      <c r="AK36" s="68" t="s">
        <v>431</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65" customHeight="1">
      <c r="Q39" s="28"/>
      <c r="R39" s="28"/>
      <c r="S39" s="1288" t="s">
        <v>88</v>
      </c>
      <c r="T39" s="1237" t="s">
        <v>432</v>
      </c>
      <c r="U39" s="172"/>
      <c r="V39" s="1289" t="s">
        <v>433</v>
      </c>
      <c r="W39" s="1290"/>
      <c r="X39" s="1305"/>
      <c r="Y39" s="1305"/>
      <c r="Z39" s="1290"/>
      <c r="AA39" s="1290"/>
      <c r="AB39" s="1291"/>
      <c r="AC39" s="1292" t="s">
        <v>434</v>
      </c>
      <c r="AD39" s="1289" t="s">
        <v>433</v>
      </c>
      <c r="AE39" s="1290"/>
      <c r="AF39" s="1305"/>
      <c r="AG39" s="1305"/>
      <c r="AH39" s="1290"/>
      <c r="AI39" s="1290"/>
      <c r="AJ39" s="1291"/>
      <c r="AK39" s="1292" t="s">
        <v>435</v>
      </c>
      <c r="AL39" s="1295" t="s">
        <v>436</v>
      </c>
      <c r="AM39" s="1148"/>
      <c r="AS39" s="11">
        <v>14</v>
      </c>
    </row>
    <row r="40" spans="1:45" ht="24" customHeight="1">
      <c r="Q40" s="28"/>
      <c r="R40" s="28"/>
      <c r="S40" s="1288"/>
      <c r="T40" s="1237"/>
      <c r="U40" s="607"/>
      <c r="V40" s="1303" t="s">
        <v>437</v>
      </c>
      <c r="W40" s="1208" t="s">
        <v>438</v>
      </c>
      <c r="X40" s="317" t="s">
        <v>439</v>
      </c>
      <c r="Y40" s="317"/>
      <c r="Z40" s="1135" t="s">
        <v>440</v>
      </c>
      <c r="AA40" s="1135"/>
      <c r="AB40" s="1128"/>
      <c r="AC40" s="1293"/>
      <c r="AD40" s="1303" t="s">
        <v>437</v>
      </c>
      <c r="AE40" s="1208" t="s">
        <v>438</v>
      </c>
      <c r="AF40" s="317" t="s">
        <v>439</v>
      </c>
      <c r="AG40" s="317"/>
      <c r="AH40" s="1135" t="s">
        <v>440</v>
      </c>
      <c r="AI40" s="1135"/>
      <c r="AJ40" s="1128"/>
      <c r="AK40" s="1293"/>
      <c r="AL40" s="1296"/>
      <c r="AM40" s="1148"/>
      <c r="AS40" s="11">
        <v>23</v>
      </c>
    </row>
    <row r="41" spans="1:45" s="17" customFormat="1" ht="24" customHeight="1">
      <c r="A41" s="82"/>
      <c r="B41" s="82" t="s">
        <v>141</v>
      </c>
      <c r="C41" s="82" t="s">
        <v>142</v>
      </c>
      <c r="D41" s="82" t="s">
        <v>143</v>
      </c>
      <c r="E41" s="770" t="s">
        <v>441</v>
      </c>
      <c r="F41" s="770" t="s">
        <v>442</v>
      </c>
      <c r="G41" s="770" t="s">
        <v>443</v>
      </c>
      <c r="H41" s="770" t="s">
        <v>444</v>
      </c>
      <c r="I41" s="770" t="s">
        <v>445</v>
      </c>
      <c r="J41" s="770" t="s">
        <v>446</v>
      </c>
      <c r="K41" s="770" t="s">
        <v>447</v>
      </c>
      <c r="L41" s="770" t="s">
        <v>422</v>
      </c>
      <c r="M41" s="506"/>
      <c r="N41" s="506"/>
      <c r="O41" s="506"/>
      <c r="P41" s="33"/>
      <c r="Q41" s="28"/>
      <c r="R41" s="28"/>
      <c r="S41" s="1288"/>
      <c r="T41" s="1237"/>
      <c r="U41" s="173"/>
      <c r="V41" s="1304"/>
      <c r="W41" s="1213"/>
      <c r="X41" s="316" t="s">
        <v>448</v>
      </c>
      <c r="Y41" s="316" t="s">
        <v>449</v>
      </c>
      <c r="Z41" s="763" t="s">
        <v>450</v>
      </c>
      <c r="AA41" s="1242" t="s">
        <v>451</v>
      </c>
      <c r="AB41" s="1255"/>
      <c r="AC41" s="1294"/>
      <c r="AD41" s="1304"/>
      <c r="AE41" s="1213"/>
      <c r="AF41" s="316" t="s">
        <v>448</v>
      </c>
      <c r="AG41" s="316" t="s">
        <v>449</v>
      </c>
      <c r="AH41" s="763" t="s">
        <v>450</v>
      </c>
      <c r="AI41" s="1242" t="s">
        <v>451</v>
      </c>
      <c r="AJ41" s="1255"/>
      <c r="AK41" s="1294"/>
      <c r="AL41" s="1297"/>
      <c r="AM41" s="1148"/>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115</v>
      </c>
      <c r="T42" s="726" t="s">
        <v>103</v>
      </c>
      <c r="U42" s="721" t="str">
        <f ca="1">OFFSET(U42,0,-1)</f>
        <v>2</v>
      </c>
      <c r="V42" s="727">
        <f ca="1">OFFSET(V42,0,-1)+1</f>
        <v>3</v>
      </c>
      <c r="W42" s="727"/>
      <c r="X42" s="286">
        <f ca="1">OFFSET(X42,0,-1)+1</f>
        <v>1</v>
      </c>
      <c r="Y42" s="286">
        <f ca="1">OFFSET(Y42,0,-1)+1</f>
        <v>2</v>
      </c>
      <c r="Z42" s="727">
        <f ca="1">OFFSET(Z42,0,-1)+1</f>
        <v>3</v>
      </c>
      <c r="AA42" s="1286">
        <f ca="1">OFFSET(AA42,0,-1)+1</f>
        <v>4</v>
      </c>
      <c r="AB42" s="1286"/>
      <c r="AC42" s="727">
        <f ca="1">OFFSET(AC42,0,-2)+1</f>
        <v>5</v>
      </c>
      <c r="AD42" s="727">
        <f ca="1">OFFSET(AD42,0,-1)+1</f>
        <v>6</v>
      </c>
      <c r="AE42" s="727"/>
      <c r="AF42" s="286">
        <f ca="1">OFFSET(AF42,0,-1)+1</f>
        <v>1</v>
      </c>
      <c r="AG42" s="286">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69" t="s">
        <v>198</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129</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198</v>
      </c>
      <c r="B44" s="769" t="s">
        <v>199</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402</v>
      </c>
      <c r="AO44" s="69"/>
      <c r="AP44" s="69" t="str">
        <f t="shared" si="1"/>
        <v>Территория действия тарифа</v>
      </c>
      <c r="AQ44" s="69"/>
      <c r="AR44" s="69"/>
      <c r="AS44" s="11">
        <v>21</v>
      </c>
    </row>
    <row r="45" spans="1:45" ht="24" customHeight="1">
      <c r="A45" s="769" t="s">
        <v>198</v>
      </c>
      <c r="B45" s="769" t="s">
        <v>199</v>
      </c>
      <c r="C45" s="769" t="s">
        <v>200</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403</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404</v>
      </c>
      <c r="AO45" s="69"/>
      <c r="AP45" s="69" t="str">
        <f t="shared" si="1"/>
        <v xml:space="preserve">Наименование системы теплоснабжения </v>
      </c>
      <c r="AQ45" s="69"/>
      <c r="AR45" s="69"/>
      <c r="AS45" s="11">
        <v>23</v>
      </c>
    </row>
    <row r="46" spans="1:45" ht="21.95" customHeight="1">
      <c r="A46" s="769" t="s">
        <v>198</v>
      </c>
      <c r="B46" s="769" t="s">
        <v>199</v>
      </c>
      <c r="C46" s="769" t="s">
        <v>200</v>
      </c>
      <c r="D46" s="769" t="s">
        <v>201</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405</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406</v>
      </c>
      <c r="AO46" s="69"/>
      <c r="AP46" s="69" t="str">
        <f t="shared" si="1"/>
        <v xml:space="preserve">Источник тепловой энергии  </v>
      </c>
      <c r="AQ46" s="69"/>
      <c r="AR46" s="69"/>
      <c r="AS46" s="11">
        <v>21</v>
      </c>
    </row>
    <row r="47" spans="1:45" ht="49.5" customHeight="1">
      <c r="A47" s="769" t="s">
        <v>198</v>
      </c>
      <c r="B47" s="769" t="s">
        <v>199</v>
      </c>
      <c r="C47" s="769" t="s">
        <v>200</v>
      </c>
      <c r="D47" s="769" t="s">
        <v>201</v>
      </c>
      <c r="E47" s="1276"/>
      <c r="F47" s="1276"/>
      <c r="G47" s="1276"/>
      <c r="H47" s="1276"/>
      <c r="I47" s="1277" t="str">
        <f>S46&amp;".1"</f>
        <v>....1</v>
      </c>
      <c r="J47" s="769"/>
      <c r="K47" s="769"/>
      <c r="L47" s="770" t="s">
        <v>407</v>
      </c>
      <c r="P47" s="1279">
        <v>1</v>
      </c>
      <c r="Q47" s="122"/>
      <c r="R47" s="208"/>
      <c r="S47" s="709" t="str">
        <f>$I47</f>
        <v>....1</v>
      </c>
      <c r="T47" s="164" t="s">
        <v>408</v>
      </c>
      <c r="U47" s="171"/>
      <c r="V47" s="1263"/>
      <c r="W47" s="1264"/>
      <c r="X47" s="1264"/>
      <c r="Y47" s="1264"/>
      <c r="Z47" s="1264"/>
      <c r="AA47" s="1264"/>
      <c r="AB47" s="1264"/>
      <c r="AC47" s="1265"/>
      <c r="AD47" s="1263"/>
      <c r="AE47" s="1264"/>
      <c r="AF47" s="1264"/>
      <c r="AG47" s="1264"/>
      <c r="AH47" s="1264"/>
      <c r="AI47" s="1264"/>
      <c r="AJ47" s="1264"/>
      <c r="AK47" s="1264"/>
      <c r="AL47" s="1265"/>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198</v>
      </c>
      <c r="B48" s="769" t="s">
        <v>199</v>
      </c>
      <c r="C48" s="769" t="s">
        <v>200</v>
      </c>
      <c r="D48" s="769" t="s">
        <v>201</v>
      </c>
      <c r="E48" s="1276"/>
      <c r="F48" s="1276"/>
      <c r="G48" s="1276"/>
      <c r="H48" s="1276"/>
      <c r="I48" s="1278"/>
      <c r="J48" s="1277" t="str">
        <f>I47&amp;".1"</f>
        <v>....1.1</v>
      </c>
      <c r="K48" s="769"/>
      <c r="L48" s="770" t="s">
        <v>410</v>
      </c>
      <c r="P48" s="1279"/>
      <c r="Q48" s="1279">
        <v>1</v>
      </c>
      <c r="R48" s="209"/>
      <c r="S48" s="709" t="str">
        <f>$J48</f>
        <v>....1.1</v>
      </c>
      <c r="T48" s="165" t="s">
        <v>411</v>
      </c>
      <c r="U48" s="171"/>
      <c r="V48" s="1263"/>
      <c r="W48" s="1264"/>
      <c r="X48" s="1264"/>
      <c r="Y48" s="1264"/>
      <c r="Z48" s="1264"/>
      <c r="AA48" s="1264"/>
      <c r="AB48" s="1264"/>
      <c r="AC48" s="1265"/>
      <c r="AD48" s="1263"/>
      <c r="AE48" s="1264"/>
      <c r="AF48" s="1264"/>
      <c r="AG48" s="1264"/>
      <c r="AH48" s="1264"/>
      <c r="AI48" s="1264"/>
      <c r="AJ48" s="1264"/>
      <c r="AK48" s="1264"/>
      <c r="AL48" s="1265"/>
      <c r="AM48" s="729" t="s">
        <v>412</v>
      </c>
      <c r="AO48" s="69"/>
      <c r="AP48" s="69" t="str">
        <f t="shared" si="1"/>
        <v>Группа потребителей</v>
      </c>
      <c r="AQ48" s="69"/>
      <c r="AR48" s="69"/>
      <c r="AS48" s="11">
        <v>21</v>
      </c>
    </row>
    <row r="49" spans="1:45" ht="21.95" customHeight="1">
      <c r="A49" s="769" t="s">
        <v>198</v>
      </c>
      <c r="B49" s="769" t="s">
        <v>199</v>
      </c>
      <c r="C49" s="769" t="s">
        <v>200</v>
      </c>
      <c r="D49" s="769" t="s">
        <v>201</v>
      </c>
      <c r="E49" s="1276"/>
      <c r="F49" s="1276"/>
      <c r="G49" s="1276"/>
      <c r="H49" s="1276"/>
      <c r="I49" s="1278"/>
      <c r="J49" s="1278"/>
      <c r="K49" s="1277" t="str">
        <f>J48&amp;".1"</f>
        <v>....1.1.1</v>
      </c>
      <c r="L49" s="770" t="s">
        <v>413</v>
      </c>
      <c r="P49" s="1279"/>
      <c r="Q49" s="1279"/>
      <c r="R49" s="209">
        <v>1</v>
      </c>
      <c r="S49" s="709" t="str">
        <f>$K49</f>
        <v>....1.1.1</v>
      </c>
      <c r="T49" s="765"/>
      <c r="U49" s="171"/>
      <c r="V49" s="191"/>
      <c r="W49" s="306"/>
      <c r="X49" s="191"/>
      <c r="Y49" s="219"/>
      <c r="Z49" s="1280"/>
      <c r="AA49" s="1158" t="s">
        <v>66</v>
      </c>
      <c r="AB49" s="1280"/>
      <c r="AC49" s="1158" t="s">
        <v>66</v>
      </c>
      <c r="AD49" s="191"/>
      <c r="AE49" s="306"/>
      <c r="AF49" s="191"/>
      <c r="AG49" s="219"/>
      <c r="AH49" s="1280"/>
      <c r="AI49" s="1158" t="s">
        <v>66</v>
      </c>
      <c r="AJ49" s="1282"/>
      <c r="AK49" s="1158" t="s">
        <v>66</v>
      </c>
      <c r="AL49" s="766"/>
      <c r="AM49" s="1298" t="s">
        <v>414</v>
      </c>
      <c r="AN49" s="68" t="e">
        <f ca="1">STRCHECKDATE(V50:AL50)</f>
        <v>#NAME?</v>
      </c>
      <c r="AO49" s="69"/>
      <c r="AP49" s="69" t="str">
        <f t="shared" si="1"/>
        <v/>
      </c>
      <c r="AQ49" s="69"/>
      <c r="AR49" s="69"/>
      <c r="AS49" s="11">
        <v>21</v>
      </c>
    </row>
    <row r="50" spans="1:45" ht="1.1499999999999999" customHeight="1">
      <c r="A50" s="769" t="s">
        <v>198</v>
      </c>
      <c r="B50" s="769" t="s">
        <v>199</v>
      </c>
      <c r="C50" s="769" t="s">
        <v>200</v>
      </c>
      <c r="D50" s="769" t="s">
        <v>201</v>
      </c>
      <c r="E50" s="1276"/>
      <c r="F50" s="1276"/>
      <c r="G50" s="1276"/>
      <c r="H50" s="1276"/>
      <c r="I50" s="1278"/>
      <c r="J50" s="1278"/>
      <c r="K50" s="1277"/>
      <c r="L50" s="770"/>
      <c r="P50" s="1279"/>
      <c r="Q50" s="1279"/>
      <c r="R50" s="209"/>
      <c r="S50" s="65"/>
      <c r="T50" s="171"/>
      <c r="U50" s="171"/>
      <c r="V50" s="191"/>
      <c r="W50" s="191"/>
      <c r="X50" s="191"/>
      <c r="Y50" s="192" t="str">
        <f>Z49&amp;"-"&amp;AB49</f>
        <v>-</v>
      </c>
      <c r="Z50" s="1281"/>
      <c r="AA50" s="1158"/>
      <c r="AB50" s="1281"/>
      <c r="AC50" s="1158"/>
      <c r="AD50" s="191"/>
      <c r="AE50" s="191"/>
      <c r="AF50" s="191"/>
      <c r="AG50" s="192" t="str">
        <f>AH49&amp;"-"&amp;AJ49</f>
        <v>-</v>
      </c>
      <c r="AH50" s="1281"/>
      <c r="AI50" s="1158"/>
      <c r="AJ50" s="1283"/>
      <c r="AK50" s="1158"/>
      <c r="AL50" s="767"/>
      <c r="AM50" s="1299"/>
      <c r="AO50" s="69"/>
      <c r="AP50" s="69" t="str">
        <f t="shared" si="1"/>
        <v/>
      </c>
      <c r="AQ50" s="69"/>
      <c r="AR50" s="69"/>
      <c r="AS50" s="11">
        <v>1</v>
      </c>
    </row>
    <row r="51" spans="1:45" ht="11.45" customHeight="1">
      <c r="A51" s="769" t="s">
        <v>198</v>
      </c>
      <c r="B51" s="769" t="s">
        <v>199</v>
      </c>
      <c r="C51" s="769" t="s">
        <v>200</v>
      </c>
      <c r="D51" s="769" t="s">
        <v>201</v>
      </c>
      <c r="E51" s="1276"/>
      <c r="F51" s="1276"/>
      <c r="G51" s="1276"/>
      <c r="H51" s="1276"/>
      <c r="I51" s="1278"/>
      <c r="J51" s="1277"/>
      <c r="K51" s="769"/>
      <c r="L51" s="770"/>
      <c r="P51" s="1279"/>
      <c r="Q51" s="1279"/>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198</v>
      </c>
      <c r="B52" s="769" t="s">
        <v>199</v>
      </c>
      <c r="C52" s="769" t="s">
        <v>200</v>
      </c>
      <c r="D52" s="769" t="s">
        <v>201</v>
      </c>
      <c r="E52" s="1276"/>
      <c r="F52" s="1276"/>
      <c r="G52" s="1276"/>
      <c r="H52" s="1276"/>
      <c r="I52" s="1277"/>
      <c r="J52" s="769"/>
      <c r="K52" s="769"/>
      <c r="L52" s="770"/>
      <c r="P52" s="1279"/>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198</v>
      </c>
      <c r="B53" s="769" t="s">
        <v>199</v>
      </c>
      <c r="C53" s="769" t="s">
        <v>200</v>
      </c>
      <c r="D53" s="769" t="s">
        <v>201</v>
      </c>
      <c r="E53" s="1276"/>
      <c r="F53" s="1276"/>
      <c r="G53" s="1276"/>
      <c r="H53" s="1275"/>
      <c r="I53" s="769"/>
      <c r="J53" s="769"/>
      <c r="K53" s="769"/>
      <c r="L53" s="770"/>
      <c r="M53" s="426"/>
      <c r="N53" s="426"/>
      <c r="O53" s="63"/>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198</v>
      </c>
      <c r="B54" s="145" t="s">
        <v>199</v>
      </c>
      <c r="C54" s="145" t="s">
        <v>200</v>
      </c>
      <c r="D54" s="145"/>
      <c r="E54" s="1276"/>
      <c r="F54" s="1276"/>
      <c r="G54" s="127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198</v>
      </c>
      <c r="B55" s="145" t="s">
        <v>199</v>
      </c>
      <c r="C55" s="145"/>
      <c r="D55" s="145"/>
      <c r="E55" s="1276"/>
      <c r="F55" s="1275"/>
      <c r="G55" s="145"/>
      <c r="H55" s="145"/>
      <c r="I55" s="145"/>
      <c r="J55" s="145"/>
      <c r="K55" s="145"/>
      <c r="L55" s="346"/>
      <c r="M55" s="759"/>
      <c r="N55" s="759"/>
      <c r="P55" s="104"/>
      <c r="Q55" s="755"/>
      <c r="R55" s="104"/>
      <c r="S55" s="760"/>
      <c r="T55" s="762" t="s">
        <v>419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198</v>
      </c>
      <c r="B56" s="145"/>
      <c r="C56" s="145"/>
      <c r="D56" s="145"/>
      <c r="E56" s="1275"/>
      <c r="F56" s="145"/>
      <c r="G56" s="145"/>
      <c r="H56" s="145"/>
      <c r="I56" s="145"/>
      <c r="J56" s="145"/>
      <c r="K56" s="145"/>
      <c r="L56" s="346"/>
      <c r="M56" s="759"/>
      <c r="N56" s="759"/>
      <c r="P56" s="104"/>
      <c r="Q56" s="755"/>
      <c r="R56" s="104"/>
      <c r="S56" s="760"/>
      <c r="T56" s="762" t="s">
        <v>420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452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78.7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75</v>
      </c>
    </row>
    <row r="61" spans="1:45" ht="14.65" customHeight="1">
      <c r="O61" s="63"/>
      <c r="AS61" s="11">
        <v>14</v>
      </c>
    </row>
    <row r="62" spans="1:45" ht="18.75" customHeight="1">
      <c r="O62" s="63"/>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63"/>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39.75" customHeight="1">
      <c r="O64" s="63"/>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38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7B282-8C4C-4A67-CE55-674875D9DF3E}">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8.42578125" style="11" hidden="1" customWidth="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400</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402</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403</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405</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406</v>
      </c>
      <c r="AO5" s="69"/>
      <c r="AP5" s="69" t="str">
        <f t="shared" si="0"/>
        <v xml:space="preserve">Источник тепловой энергии  </v>
      </c>
      <c r="AQ5" s="69"/>
      <c r="AR5" s="69"/>
      <c r="AS5" s="11">
        <v>0</v>
      </c>
    </row>
    <row r="6" spans="1:45" ht="14.25" hidden="1" customHeight="1">
      <c r="A6" s="769"/>
      <c r="B6" s="769"/>
      <c r="C6" s="769"/>
      <c r="D6" s="769"/>
      <c r="E6" s="1276"/>
      <c r="F6" s="1276"/>
      <c r="G6" s="1276"/>
      <c r="H6" s="1276"/>
      <c r="I6" s="1277" t="e">
        <f>S5&amp;".1"</f>
        <v>#N/A</v>
      </c>
      <c r="J6" s="769"/>
      <c r="K6" s="769"/>
      <c r="L6" s="770" t="s">
        <v>407</v>
      </c>
      <c r="M6" s="63"/>
      <c r="P6" s="1279">
        <v>1</v>
      </c>
      <c r="Q6" s="122"/>
      <c r="R6" s="208"/>
      <c r="S6" s="362"/>
      <c r="T6" s="779"/>
      <c r="U6" s="780"/>
      <c r="V6" s="1306"/>
      <c r="W6" s="1307"/>
      <c r="X6" s="1307"/>
      <c r="Y6" s="1307"/>
      <c r="Z6" s="1307"/>
      <c r="AA6" s="1307"/>
      <c r="AB6" s="1307"/>
      <c r="AC6" s="1308"/>
      <c r="AD6" s="1306"/>
      <c r="AE6" s="1307"/>
      <c r="AF6" s="1307"/>
      <c r="AG6" s="1307"/>
      <c r="AH6" s="1307"/>
      <c r="AI6" s="1307"/>
      <c r="AJ6" s="1307"/>
      <c r="AK6" s="1307"/>
      <c r="AL6" s="1308"/>
      <c r="AM6" s="781"/>
      <c r="AO6" s="69"/>
      <c r="AP6" s="69" t="str">
        <f t="shared" si="0"/>
        <v/>
      </c>
      <c r="AQ6" s="69"/>
      <c r="AR6" s="69"/>
      <c r="AS6" s="11">
        <v>0</v>
      </c>
    </row>
    <row r="7" spans="1:45" ht="21" hidden="1" customHeight="1">
      <c r="A7" s="769"/>
      <c r="B7" s="769"/>
      <c r="C7" s="769"/>
      <c r="D7" s="769"/>
      <c r="E7" s="1276"/>
      <c r="F7" s="1276"/>
      <c r="G7" s="1276"/>
      <c r="H7" s="1276"/>
      <c r="I7" s="1278"/>
      <c r="J7" s="1277" t="e">
        <f>I6&amp;".1"</f>
        <v>#N/A</v>
      </c>
      <c r="K7" s="769"/>
      <c r="L7" s="770" t="s">
        <v>410</v>
      </c>
      <c r="M7" s="63"/>
      <c r="N7" s="63"/>
      <c r="P7" s="1279"/>
      <c r="Q7" s="1279">
        <v>1</v>
      </c>
      <c r="R7" s="209"/>
      <c r="S7" s="709" t="e">
        <f>$J7</f>
        <v>#N/A</v>
      </c>
      <c r="T7" s="165" t="s">
        <v>411</v>
      </c>
      <c r="U7" s="171"/>
      <c r="V7" s="1263"/>
      <c r="W7" s="1264"/>
      <c r="X7" s="1264"/>
      <c r="Y7" s="1264"/>
      <c r="Z7" s="1264"/>
      <c r="AA7" s="1264"/>
      <c r="AB7" s="1264"/>
      <c r="AC7" s="1265"/>
      <c r="AD7" s="1263"/>
      <c r="AE7" s="1264"/>
      <c r="AF7" s="1264"/>
      <c r="AG7" s="1264"/>
      <c r="AH7" s="1264"/>
      <c r="AI7" s="1264"/>
      <c r="AJ7" s="1264"/>
      <c r="AK7" s="1264"/>
      <c r="AL7" s="1265"/>
      <c r="AM7" s="729" t="s">
        <v>412</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413</v>
      </c>
      <c r="M8" s="63"/>
      <c r="N8" s="63"/>
      <c r="O8" s="63"/>
      <c r="P8" s="1279"/>
      <c r="Q8" s="1279"/>
      <c r="R8" s="209">
        <v>1</v>
      </c>
      <c r="S8" s="709" t="e">
        <f>$K8</f>
        <v>#N/A</v>
      </c>
      <c r="T8" s="765"/>
      <c r="U8" s="171"/>
      <c r="V8" s="306"/>
      <c r="W8" s="191"/>
      <c r="X8" s="306"/>
      <c r="Y8" s="728"/>
      <c r="Z8" s="1280"/>
      <c r="AA8" s="1158" t="s">
        <v>66</v>
      </c>
      <c r="AB8" s="1280"/>
      <c r="AC8" s="1158" t="s">
        <v>66</v>
      </c>
      <c r="AD8" s="306"/>
      <c r="AE8" s="191"/>
      <c r="AF8" s="306"/>
      <c r="AG8" s="728"/>
      <c r="AH8" s="1280"/>
      <c r="AI8" s="1158" t="s">
        <v>66</v>
      </c>
      <c r="AJ8" s="1280"/>
      <c r="AK8" s="1158" t="s">
        <v>66</v>
      </c>
      <c r="AL8" s="191"/>
      <c r="AM8" s="1298" t="s">
        <v>414</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8"/>
      <c r="AB9" s="1281"/>
      <c r="AC9" s="1158"/>
      <c r="AD9" s="191"/>
      <c r="AE9" s="191"/>
      <c r="AF9" s="191"/>
      <c r="AG9" s="192" t="str">
        <f>AH8&amp;"-"&amp;AJ8</f>
        <v>-</v>
      </c>
      <c r="AH9" s="1281"/>
      <c r="AI9" s="1158"/>
      <c r="AJ9" s="1281"/>
      <c r="AK9" s="1158"/>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6" t="s">
        <v>415</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6"/>
      <c r="F11" s="1276"/>
      <c r="G11" s="1276"/>
      <c r="H11" s="1276"/>
      <c r="I11" s="1277"/>
      <c r="J11" s="769"/>
      <c r="K11" s="769"/>
      <c r="L11" s="770"/>
      <c r="M11" s="63"/>
      <c r="P11" s="1279"/>
      <c r="Q11" s="122"/>
      <c r="R11" s="208"/>
      <c r="S11" s="742"/>
      <c r="T11" s="211"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421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422</v>
      </c>
      <c r="P22" s="506"/>
      <c r="Q22" s="772"/>
      <c r="R22" s="772"/>
      <c r="S22" s="426"/>
      <c r="T22" s="63" t="s">
        <v>423</v>
      </c>
      <c r="AA22" s="82" t="s">
        <v>424</v>
      </c>
      <c r="AC22" s="82" t="s">
        <v>425</v>
      </c>
      <c r="AD22" s="63" t="s">
        <v>423</v>
      </c>
      <c r="AI22" s="82" t="s">
        <v>426</v>
      </c>
      <c r="AK22" s="82" t="s">
        <v>425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63" customHeight="1">
      <c r="Q26" s="28"/>
      <c r="R26" s="28"/>
      <c r="S26" s="12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6"/>
      <c r="U26" s="1256"/>
      <c r="V26" s="1256"/>
      <c r="W26" s="1256"/>
      <c r="X26" s="1256"/>
      <c r="Y26" s="1256"/>
      <c r="Z26" s="1256"/>
      <c r="AA26" s="1256"/>
      <c r="AB26" s="1256"/>
      <c r="AC26" s="1256"/>
      <c r="AD26" s="1256"/>
      <c r="AE26" s="1256"/>
      <c r="AF26" s="1256"/>
      <c r="AG26" s="1256"/>
      <c r="AH26" s="1256"/>
      <c r="AI26" s="1256"/>
      <c r="AJ26" s="1256"/>
      <c r="AK26" s="59"/>
      <c r="AS26" s="11">
        <v>60</v>
      </c>
    </row>
    <row r="27" spans="1:45" ht="14.65" customHeight="1">
      <c r="Q27" s="28"/>
      <c r="R27" s="28"/>
      <c r="S27" s="1229" t="str">
        <f>IF(org=0,"Не определено",org)</f>
        <v>ООО "Инженерные сети"</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427</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428</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429</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430</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431</v>
      </c>
      <c r="AD36" s="11"/>
      <c r="AE36" s="11"/>
      <c r="AF36" s="11"/>
      <c r="AG36" s="11"/>
      <c r="AH36" s="11"/>
      <c r="AI36" s="11"/>
      <c r="AJ36" s="11"/>
      <c r="AK36" s="68" t="s">
        <v>431</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65" customHeight="1">
      <c r="Q39" s="28"/>
      <c r="R39" s="28"/>
      <c r="S39" s="1288" t="s">
        <v>88</v>
      </c>
      <c r="T39" s="1237" t="s">
        <v>432</v>
      </c>
      <c r="U39" s="172"/>
      <c r="V39" s="1289" t="s">
        <v>433</v>
      </c>
      <c r="W39" s="1290"/>
      <c r="X39" s="1290"/>
      <c r="Y39" s="1290"/>
      <c r="Z39" s="1290"/>
      <c r="AA39" s="1290"/>
      <c r="AB39" s="1291"/>
      <c r="AC39" s="1292" t="s">
        <v>434</v>
      </c>
      <c r="AD39" s="1289" t="s">
        <v>433</v>
      </c>
      <c r="AE39" s="1290"/>
      <c r="AF39" s="1290"/>
      <c r="AG39" s="1290"/>
      <c r="AH39" s="1290"/>
      <c r="AI39" s="1290"/>
      <c r="AJ39" s="1291"/>
      <c r="AK39" s="1292" t="s">
        <v>435</v>
      </c>
      <c r="AL39" s="1295" t="s">
        <v>436</v>
      </c>
      <c r="AM39" s="1148"/>
      <c r="AS39" s="11">
        <v>14</v>
      </c>
    </row>
    <row r="40" spans="1:45" ht="35.65" customHeight="1">
      <c r="Q40" s="28"/>
      <c r="R40" s="28"/>
      <c r="S40" s="1288"/>
      <c r="T40" s="1237"/>
      <c r="U40" s="607"/>
      <c r="V40" s="1207" t="s">
        <v>437</v>
      </c>
      <c r="W40" s="1284"/>
      <c r="X40" s="1129" t="s">
        <v>439</v>
      </c>
      <c r="Y40" s="1128"/>
      <c r="Z40" s="1129" t="s">
        <v>440</v>
      </c>
      <c r="AA40" s="1135"/>
      <c r="AB40" s="1128"/>
      <c r="AC40" s="1293"/>
      <c r="AD40" s="1207" t="s">
        <v>454</v>
      </c>
      <c r="AE40" s="1284"/>
      <c r="AF40" s="1129" t="s">
        <v>439</v>
      </c>
      <c r="AG40" s="1128"/>
      <c r="AH40" s="1129" t="s">
        <v>440</v>
      </c>
      <c r="AI40" s="1135"/>
      <c r="AJ40" s="1128"/>
      <c r="AK40" s="1293"/>
      <c r="AL40" s="1296"/>
      <c r="AM40" s="1148"/>
      <c r="AS40" s="11">
        <v>34</v>
      </c>
    </row>
    <row r="41" spans="1:45" ht="35.65" customHeight="1">
      <c r="A41" s="82"/>
      <c r="B41" s="82" t="s">
        <v>141</v>
      </c>
      <c r="C41" s="82" t="s">
        <v>142</v>
      </c>
      <c r="D41" s="82" t="s">
        <v>143</v>
      </c>
      <c r="E41" s="770" t="s">
        <v>441</v>
      </c>
      <c r="F41" s="770" t="s">
        <v>442</v>
      </c>
      <c r="G41" s="770" t="s">
        <v>443</v>
      </c>
      <c r="H41" s="770" t="s">
        <v>444</v>
      </c>
      <c r="I41" s="770" t="s">
        <v>445</v>
      </c>
      <c r="J41" s="770" t="s">
        <v>446</v>
      </c>
      <c r="K41" s="770" t="s">
        <v>447</v>
      </c>
      <c r="L41" s="770" t="s">
        <v>422</v>
      </c>
      <c r="Q41" s="28"/>
      <c r="R41" s="28"/>
      <c r="S41" s="1288"/>
      <c r="T41" s="1237"/>
      <c r="U41" s="173"/>
      <c r="V41" s="1261"/>
      <c r="W41" s="1285"/>
      <c r="X41" s="39" t="s">
        <v>448</v>
      </c>
      <c r="Y41" s="39" t="s">
        <v>449</v>
      </c>
      <c r="Z41" s="39" t="s">
        <v>450</v>
      </c>
      <c r="AA41" s="1242" t="s">
        <v>451</v>
      </c>
      <c r="AB41" s="1255"/>
      <c r="AC41" s="1294"/>
      <c r="AD41" s="1261"/>
      <c r="AE41" s="1285"/>
      <c r="AF41" s="39" t="s">
        <v>448</v>
      </c>
      <c r="AG41" s="39" t="s">
        <v>449</v>
      </c>
      <c r="AH41" s="39" t="s">
        <v>450</v>
      </c>
      <c r="AI41" s="1242" t="s">
        <v>451</v>
      </c>
      <c r="AJ41" s="1255"/>
      <c r="AK41" s="1294"/>
      <c r="AL41" s="1297"/>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115</v>
      </c>
      <c r="T42" s="726" t="s">
        <v>103</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69" t="s">
        <v>174</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129</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174</v>
      </c>
      <c r="B44" s="769" t="s">
        <v>175</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402</v>
      </c>
      <c r="AO44" s="69"/>
      <c r="AP44" s="69" t="str">
        <f t="shared" si="1"/>
        <v>Территория действия тарифа</v>
      </c>
      <c r="AQ44" s="69"/>
      <c r="AR44" s="69"/>
      <c r="AS44" s="11">
        <v>21</v>
      </c>
    </row>
    <row r="45" spans="1:45" ht="24" customHeight="1">
      <c r="A45" s="769" t="s">
        <v>174</v>
      </c>
      <c r="B45" s="769" t="s">
        <v>175</v>
      </c>
      <c r="C45" s="769" t="s">
        <v>176</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403</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404</v>
      </c>
      <c r="AO45" s="69"/>
      <c r="AP45" s="69" t="str">
        <f t="shared" si="1"/>
        <v xml:space="preserve">Наименование системы теплоснабжения </v>
      </c>
      <c r="AQ45" s="69"/>
      <c r="AR45" s="69"/>
      <c r="AS45" s="11">
        <v>23</v>
      </c>
    </row>
    <row r="46" spans="1:45" ht="21.95" customHeight="1">
      <c r="A46" s="769" t="s">
        <v>174</v>
      </c>
      <c r="B46" s="769" t="s">
        <v>175</v>
      </c>
      <c r="C46" s="769" t="s">
        <v>176</v>
      </c>
      <c r="D46" s="769" t="s">
        <v>177</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405</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406</v>
      </c>
      <c r="AO46" s="69"/>
      <c r="AP46" s="69" t="str">
        <f t="shared" si="1"/>
        <v xml:space="preserve">Источник тепловой энергии  </v>
      </c>
      <c r="AQ46" s="69"/>
      <c r="AR46" s="69"/>
      <c r="AS46" s="11">
        <v>21</v>
      </c>
    </row>
    <row r="47" spans="1:45" s="68" customFormat="1" ht="0" hidden="1" customHeight="1">
      <c r="A47" s="145" t="s">
        <v>174</v>
      </c>
      <c r="B47" s="145" t="s">
        <v>175</v>
      </c>
      <c r="C47" s="145" t="s">
        <v>176</v>
      </c>
      <c r="D47" s="145" t="s">
        <v>177</v>
      </c>
      <c r="E47" s="1276"/>
      <c r="F47" s="1276"/>
      <c r="G47" s="1276"/>
      <c r="H47" s="1276"/>
      <c r="I47" s="1277" t="str">
        <f>S46&amp;".1"</f>
        <v>....1</v>
      </c>
      <c r="J47" s="145"/>
      <c r="K47" s="145"/>
      <c r="L47" s="346" t="s">
        <v>407</v>
      </c>
      <c r="M47" s="290"/>
      <c r="N47" s="290"/>
      <c r="O47" s="290"/>
      <c r="P47" s="1279">
        <v>1</v>
      </c>
      <c r="Q47" s="122"/>
      <c r="R47" s="208"/>
      <c r="S47" s="362"/>
      <c r="T47" s="779"/>
      <c r="U47" s="780"/>
      <c r="V47" s="1306"/>
      <c r="W47" s="1307"/>
      <c r="X47" s="1307"/>
      <c r="Y47" s="1307"/>
      <c r="Z47" s="1307"/>
      <c r="AA47" s="1307"/>
      <c r="AB47" s="1307"/>
      <c r="AC47" s="1308"/>
      <c r="AD47" s="1306"/>
      <c r="AE47" s="1307"/>
      <c r="AF47" s="1307"/>
      <c r="AG47" s="1307"/>
      <c r="AH47" s="1307"/>
      <c r="AI47" s="1307"/>
      <c r="AJ47" s="1307"/>
      <c r="AK47" s="1307"/>
      <c r="AL47" s="1308"/>
      <c r="AM47" s="781"/>
      <c r="AO47" s="69"/>
      <c r="AP47" s="69" t="str">
        <f t="shared" si="1"/>
        <v/>
      </c>
      <c r="AQ47" s="69"/>
      <c r="AR47" s="69"/>
      <c r="AS47" s="68">
        <v>0</v>
      </c>
    </row>
    <row r="48" spans="1:45" ht="21.95" customHeight="1">
      <c r="A48" s="769" t="s">
        <v>174</v>
      </c>
      <c r="B48" s="769" t="s">
        <v>175</v>
      </c>
      <c r="C48" s="769" t="s">
        <v>176</v>
      </c>
      <c r="D48" s="769" t="s">
        <v>177</v>
      </c>
      <c r="E48" s="1276"/>
      <c r="F48" s="1276"/>
      <c r="G48" s="1276"/>
      <c r="H48" s="1276"/>
      <c r="I48" s="1278"/>
      <c r="J48" s="1277" t="str">
        <f>S46&amp;".1"</f>
        <v>....1</v>
      </c>
      <c r="K48" s="769"/>
      <c r="L48" s="770" t="s">
        <v>410</v>
      </c>
      <c r="P48" s="1279"/>
      <c r="Q48" s="1279">
        <v>1</v>
      </c>
      <c r="R48" s="209"/>
      <c r="S48" s="709" t="str">
        <f>$J48</f>
        <v>....1</v>
      </c>
      <c r="T48" s="165" t="s">
        <v>411</v>
      </c>
      <c r="U48" s="171"/>
      <c r="V48" s="1263"/>
      <c r="W48" s="1264"/>
      <c r="X48" s="1264"/>
      <c r="Y48" s="1264"/>
      <c r="Z48" s="1264"/>
      <c r="AA48" s="1264"/>
      <c r="AB48" s="1264"/>
      <c r="AC48" s="1265"/>
      <c r="AD48" s="1263"/>
      <c r="AE48" s="1264"/>
      <c r="AF48" s="1264"/>
      <c r="AG48" s="1264"/>
      <c r="AH48" s="1264"/>
      <c r="AI48" s="1264"/>
      <c r="AJ48" s="1264"/>
      <c r="AK48" s="1264"/>
      <c r="AL48" s="1265"/>
      <c r="AM48" s="729" t="s">
        <v>412</v>
      </c>
      <c r="AO48" s="69"/>
      <c r="AP48" s="69" t="str">
        <f t="shared" si="1"/>
        <v>Группа потребителей</v>
      </c>
      <c r="AQ48" s="69"/>
      <c r="AR48" s="69"/>
      <c r="AS48" s="11">
        <v>21</v>
      </c>
    </row>
    <row r="49" spans="1:45" ht="21.95" customHeight="1">
      <c r="A49" s="769" t="s">
        <v>174</v>
      </c>
      <c r="B49" s="769" t="s">
        <v>175</v>
      </c>
      <c r="C49" s="769" t="s">
        <v>176</v>
      </c>
      <c r="D49" s="769" t="s">
        <v>177</v>
      </c>
      <c r="E49" s="1276"/>
      <c r="F49" s="1276"/>
      <c r="G49" s="1276"/>
      <c r="H49" s="1276"/>
      <c r="I49" s="1278"/>
      <c r="J49" s="1278"/>
      <c r="K49" s="1277" t="str">
        <f>J48&amp;".1"</f>
        <v>....1.1</v>
      </c>
      <c r="L49" s="770" t="s">
        <v>413</v>
      </c>
      <c r="P49" s="1279"/>
      <c r="Q49" s="1279"/>
      <c r="R49" s="209">
        <v>1</v>
      </c>
      <c r="S49" s="709" t="str">
        <f>$K49</f>
        <v>....1.1</v>
      </c>
      <c r="T49" s="765"/>
      <c r="U49" s="171"/>
      <c r="V49" s="306"/>
      <c r="W49" s="191"/>
      <c r="X49" s="306"/>
      <c r="Y49" s="728"/>
      <c r="Z49" s="1280"/>
      <c r="AA49" s="1158" t="s">
        <v>66</v>
      </c>
      <c r="AB49" s="1280"/>
      <c r="AC49" s="1158" t="s">
        <v>66</v>
      </c>
      <c r="AD49" s="306"/>
      <c r="AE49" s="191"/>
      <c r="AF49" s="306"/>
      <c r="AG49" s="728"/>
      <c r="AH49" s="1280"/>
      <c r="AI49" s="1158" t="s">
        <v>66</v>
      </c>
      <c r="AJ49" s="1282"/>
      <c r="AK49" s="1158" t="s">
        <v>66</v>
      </c>
      <c r="AL49" s="766"/>
      <c r="AM49" s="1298" t="s">
        <v>455</v>
      </c>
      <c r="AN49" s="68" t="e">
        <f ca="1">STRCHECKDATE(V50:AL50)</f>
        <v>#NAME?</v>
      </c>
      <c r="AO49" s="69"/>
      <c r="AP49" s="69" t="str">
        <f t="shared" si="1"/>
        <v/>
      </c>
      <c r="AQ49" s="69"/>
      <c r="AR49" s="69"/>
      <c r="AS49" s="11">
        <v>21</v>
      </c>
    </row>
    <row r="50" spans="1:45" ht="1.1499999999999999" customHeight="1">
      <c r="A50" s="769" t="s">
        <v>174</v>
      </c>
      <c r="B50" s="769" t="s">
        <v>175</v>
      </c>
      <c r="C50" s="769" t="s">
        <v>176</v>
      </c>
      <c r="D50" s="769" t="s">
        <v>177</v>
      </c>
      <c r="E50" s="1276"/>
      <c r="F50" s="1276"/>
      <c r="G50" s="1276"/>
      <c r="H50" s="1276"/>
      <c r="I50" s="1278"/>
      <c r="J50" s="1278"/>
      <c r="K50" s="1277"/>
      <c r="L50" s="770"/>
      <c r="P50" s="1279"/>
      <c r="Q50" s="1279"/>
      <c r="R50" s="209"/>
      <c r="S50" s="65"/>
      <c r="T50" s="171"/>
      <c r="U50" s="171"/>
      <c r="V50" s="191"/>
      <c r="W50" s="191"/>
      <c r="X50" s="191"/>
      <c r="Y50" s="192" t="str">
        <f>Z49&amp;"-"&amp;AB49</f>
        <v>-</v>
      </c>
      <c r="Z50" s="1281"/>
      <c r="AA50" s="1158"/>
      <c r="AB50" s="1281"/>
      <c r="AC50" s="1158"/>
      <c r="AD50" s="191"/>
      <c r="AE50" s="191"/>
      <c r="AF50" s="191"/>
      <c r="AG50" s="192" t="str">
        <f>AH49&amp;"-"&amp;AJ49</f>
        <v>-</v>
      </c>
      <c r="AH50" s="1281"/>
      <c r="AI50" s="1158"/>
      <c r="AJ50" s="1283"/>
      <c r="AK50" s="1158"/>
      <c r="AL50" s="767"/>
      <c r="AM50" s="1299"/>
      <c r="AO50" s="69"/>
      <c r="AP50" s="69" t="str">
        <f t="shared" si="1"/>
        <v/>
      </c>
      <c r="AQ50" s="69"/>
      <c r="AR50" s="69"/>
      <c r="AS50" s="11">
        <v>1</v>
      </c>
    </row>
    <row r="51" spans="1:45" ht="11.45" customHeight="1">
      <c r="A51" s="769" t="s">
        <v>174</v>
      </c>
      <c r="B51" s="769" t="s">
        <v>175</v>
      </c>
      <c r="C51" s="769" t="s">
        <v>176</v>
      </c>
      <c r="D51" s="769" t="s">
        <v>177</v>
      </c>
      <c r="E51" s="1276"/>
      <c r="F51" s="1276"/>
      <c r="G51" s="1276"/>
      <c r="H51" s="1276"/>
      <c r="I51" s="1278"/>
      <c r="J51" s="1277"/>
      <c r="K51" s="769"/>
      <c r="L51" s="770"/>
      <c r="P51" s="1279"/>
      <c r="Q51" s="1279"/>
      <c r="R51" s="208"/>
      <c r="S51" s="742"/>
      <c r="T51" s="166" t="s">
        <v>415</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174</v>
      </c>
      <c r="B52" s="769" t="s">
        <v>175</v>
      </c>
      <c r="C52" s="769" t="s">
        <v>176</v>
      </c>
      <c r="D52" s="769" t="s">
        <v>177</v>
      </c>
      <c r="E52" s="1276"/>
      <c r="F52" s="1276"/>
      <c r="G52" s="1276"/>
      <c r="H52" s="1276"/>
      <c r="I52" s="1277"/>
      <c r="J52" s="769"/>
      <c r="K52" s="769"/>
      <c r="L52" s="770"/>
      <c r="P52" s="1279"/>
      <c r="Q52" s="122"/>
      <c r="R52" s="208"/>
      <c r="S52" s="742"/>
      <c r="T52" s="211"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174</v>
      </c>
      <c r="B53" s="769" t="s">
        <v>175</v>
      </c>
      <c r="C53" s="769" t="s">
        <v>176</v>
      </c>
      <c r="D53" s="769" t="s">
        <v>177</v>
      </c>
      <c r="E53" s="1276"/>
      <c r="F53" s="1276"/>
      <c r="G53" s="1276"/>
      <c r="H53" s="1275"/>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174</v>
      </c>
      <c r="B54" s="145" t="s">
        <v>175</v>
      </c>
      <c r="C54" s="145" t="s">
        <v>176</v>
      </c>
      <c r="D54" s="145"/>
      <c r="E54" s="1276"/>
      <c r="F54" s="1276"/>
      <c r="G54" s="127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174</v>
      </c>
      <c r="B55" s="145" t="s">
        <v>175</v>
      </c>
      <c r="C55" s="145"/>
      <c r="D55" s="145"/>
      <c r="E55" s="1276"/>
      <c r="F55" s="1275"/>
      <c r="G55" s="145"/>
      <c r="H55" s="145"/>
      <c r="I55" s="145"/>
      <c r="J55" s="145"/>
      <c r="K55" s="145"/>
      <c r="L55" s="346"/>
      <c r="M55" s="759"/>
      <c r="N55" s="759"/>
      <c r="P55" s="104"/>
      <c r="Q55" s="755"/>
      <c r="R55" s="104"/>
      <c r="S55" s="760"/>
      <c r="T55" s="762" t="s">
        <v>419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174</v>
      </c>
      <c r="B56" s="145"/>
      <c r="C56" s="145"/>
      <c r="D56" s="145"/>
      <c r="E56" s="1275"/>
      <c r="F56" s="145"/>
      <c r="G56" s="145"/>
      <c r="H56" s="145"/>
      <c r="I56" s="145"/>
      <c r="J56" s="145"/>
      <c r="K56" s="145"/>
      <c r="L56" s="346"/>
      <c r="M56" s="759"/>
      <c r="N56" s="759"/>
      <c r="P56" s="104"/>
      <c r="Q56" s="755"/>
      <c r="R56" s="104"/>
      <c r="S56" s="760"/>
      <c r="T56" s="762" t="s">
        <v>420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452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19.899999999999999"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19</v>
      </c>
    </row>
    <row r="60" spans="1:45" ht="29.2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28</v>
      </c>
    </row>
    <row r="61" spans="1:45" ht="42" customHeight="1">
      <c r="O61" s="63"/>
      <c r="T61" s="1274"/>
      <c r="U61" s="1274"/>
      <c r="V61" s="1274"/>
      <c r="W61" s="1274"/>
      <c r="X61" s="1274"/>
      <c r="Y61" s="1274"/>
      <c r="Z61" s="1274"/>
      <c r="AA61" s="1274"/>
      <c r="AB61" s="1274"/>
      <c r="AC61" s="1274"/>
      <c r="AD61" s="1274"/>
      <c r="AE61" s="1274"/>
      <c r="AF61" s="1274"/>
      <c r="AG61" s="1274"/>
      <c r="AH61" s="1274"/>
      <c r="AI61" s="1274"/>
      <c r="AJ61" s="1274"/>
      <c r="AK61" s="1274"/>
      <c r="AL61" s="1274"/>
      <c r="AM61" s="1274"/>
      <c r="AS61" s="11">
        <v>40</v>
      </c>
    </row>
    <row r="62" spans="1:45" ht="14.65" customHeight="1">
      <c r="O62" s="63"/>
      <c r="AS62" s="11">
        <v>14</v>
      </c>
    </row>
    <row r="63" spans="1:45" ht="21" customHeight="1">
      <c r="O63" s="63"/>
      <c r="S63" s="198"/>
      <c r="T63" s="1188"/>
      <c r="U63" s="1274"/>
      <c r="V63" s="1274"/>
      <c r="W63" s="1274"/>
      <c r="X63" s="1274"/>
      <c r="Y63" s="1274"/>
      <c r="Z63" s="1274"/>
      <c r="AA63" s="1274"/>
      <c r="AB63" s="1274"/>
      <c r="AC63" s="1274"/>
      <c r="AD63" s="1274"/>
      <c r="AE63" s="1274"/>
      <c r="AF63" s="1274"/>
      <c r="AG63" s="1274"/>
      <c r="AH63" s="1274"/>
      <c r="AI63" s="1274"/>
      <c r="AJ63" s="1274"/>
      <c r="AK63" s="1274"/>
      <c r="AL63" s="1274"/>
      <c r="AM63" s="1274"/>
      <c r="AS63" s="11">
        <v>20</v>
      </c>
    </row>
    <row r="64" spans="1:45" ht="29.25" customHeight="1">
      <c r="O64" s="63"/>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35.65" customHeight="1">
      <c r="T65" s="1274"/>
      <c r="U65" s="1274"/>
      <c r="V65" s="1274"/>
      <c r="W65" s="1274"/>
      <c r="X65" s="1274"/>
      <c r="Y65" s="1274"/>
      <c r="Z65" s="1274"/>
      <c r="AA65" s="1274"/>
      <c r="AB65" s="1274"/>
      <c r="AC65" s="1274"/>
      <c r="AD65" s="1274"/>
      <c r="AE65" s="1274"/>
      <c r="AF65" s="1274"/>
      <c r="AG65" s="1274"/>
      <c r="AH65" s="1274"/>
      <c r="AI65" s="1274"/>
      <c r="AJ65" s="1274"/>
      <c r="AK65" s="1274"/>
      <c r="AL65" s="1274"/>
      <c r="AM65" s="1274"/>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2E598-1FB7-7596-6FF3-68FF9219C55E}">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1" s="101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400</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402</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1045" t="e">
        <f>INDEX(PT_DIFFERENTIATION_NUM_CS,MATCH(C4,PT_DIFFERENTIATION_CS_ID,0))</f>
        <v>#N/A</v>
      </c>
      <c r="T4" s="1063" t="s">
        <v>403</v>
      </c>
      <c r="U4" s="1064"/>
      <c r="V4" s="1311"/>
      <c r="W4" s="1312"/>
      <c r="X4" s="1312"/>
      <c r="Y4" s="1312"/>
      <c r="Z4" s="1312"/>
      <c r="AA4" s="1312"/>
      <c r="AB4" s="1312"/>
      <c r="AC4" s="1313"/>
      <c r="AD4" s="1311" t="e">
        <f>INDEX(PT_DIFFERENTIATION_CS,MATCH(C4,PT_DIFFERENTIATION_CS_ID,0))</f>
        <v>#N/A</v>
      </c>
      <c r="AE4" s="1312"/>
      <c r="AF4" s="1312"/>
      <c r="AG4" s="1312"/>
      <c r="AH4" s="1312"/>
      <c r="AI4" s="1312"/>
      <c r="AJ4" s="1312"/>
      <c r="AK4" s="1312"/>
      <c r="AL4" s="1313"/>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11"/>
      <c r="S5" s="709" t="e">
        <f>INDEX(PT_DIFFERENTIATION_NUM_IST_TE,MATCH(D5,PT_DIFFERENTIATION_IST_TE_ID,0))</f>
        <v>#N/A</v>
      </c>
      <c r="T5" s="179" t="s">
        <v>405</v>
      </c>
      <c r="U5" s="171"/>
      <c r="V5" s="1314"/>
      <c r="W5" s="1314"/>
      <c r="X5" s="1314"/>
      <c r="Y5" s="1314"/>
      <c r="Z5" s="1314"/>
      <c r="AA5" s="1314"/>
      <c r="AB5" s="1314"/>
      <c r="AC5" s="1314"/>
      <c r="AD5" s="1314" t="e">
        <f>INDEX(PT_DIFFERENTIATION_IST_TE,MATCH(D5,PT_DIFFERENTIATION_IST_TE_ID,0))</f>
        <v>#N/A</v>
      </c>
      <c r="AE5" s="1314"/>
      <c r="AF5" s="1314"/>
      <c r="AG5" s="1314"/>
      <c r="AH5" s="1314"/>
      <c r="AI5" s="1314"/>
      <c r="AJ5" s="1314"/>
      <c r="AK5" s="1314"/>
      <c r="AL5" s="1314"/>
      <c r="AM5" s="1061" t="s">
        <v>406</v>
      </c>
      <c r="AO5" s="69"/>
      <c r="AP5" s="69" t="str">
        <f t="shared" si="0"/>
        <v xml:space="preserve">Источник тепловой энергии  </v>
      </c>
      <c r="AQ5" s="69"/>
      <c r="AR5" s="69"/>
      <c r="AS5" s="11">
        <v>0</v>
      </c>
    </row>
    <row r="6" spans="1:45" ht="0.75" hidden="1" customHeight="1">
      <c r="A6" s="769"/>
      <c r="B6" s="769"/>
      <c r="C6" s="769"/>
      <c r="D6" s="769"/>
      <c r="E6" s="1276"/>
      <c r="F6" s="1276"/>
      <c r="G6" s="1276"/>
      <c r="H6" s="1276"/>
      <c r="I6" s="1277" t="e">
        <f>S5&amp;".1"</f>
        <v>#N/A</v>
      </c>
      <c r="J6" s="769"/>
      <c r="K6" s="769"/>
      <c r="L6" s="770" t="s">
        <v>407</v>
      </c>
      <c r="M6" s="63"/>
      <c r="P6" s="1279">
        <v>1</v>
      </c>
      <c r="Q6" s="122"/>
      <c r="R6" s="122"/>
      <c r="S6" s="362"/>
      <c r="T6" s="779"/>
      <c r="U6" s="780"/>
      <c r="V6" s="1315"/>
      <c r="W6" s="1315"/>
      <c r="X6" s="1315"/>
      <c r="Y6" s="1315"/>
      <c r="Z6" s="1315"/>
      <c r="AA6" s="1315"/>
      <c r="AB6" s="1315"/>
      <c r="AC6" s="1315"/>
      <c r="AD6" s="1315"/>
      <c r="AE6" s="1315"/>
      <c r="AF6" s="1315"/>
      <c r="AG6" s="1315"/>
      <c r="AH6" s="1315"/>
      <c r="AI6" s="1315"/>
      <c r="AJ6" s="1315"/>
      <c r="AK6" s="1315"/>
      <c r="AL6" s="1315"/>
      <c r="AM6" s="1062"/>
      <c r="AO6" s="69"/>
      <c r="AP6" s="69" t="str">
        <f t="shared" si="0"/>
        <v/>
      </c>
      <c r="AQ6" s="69"/>
      <c r="AR6" s="69"/>
      <c r="AS6" s="11">
        <v>0</v>
      </c>
    </row>
    <row r="7" spans="1:45" ht="84" hidden="1" customHeight="1">
      <c r="A7" s="769"/>
      <c r="B7" s="769"/>
      <c r="C7" s="769"/>
      <c r="D7" s="769"/>
      <c r="E7" s="1276"/>
      <c r="F7" s="1276"/>
      <c r="G7" s="1276"/>
      <c r="H7" s="1276"/>
      <c r="I7" s="1278"/>
      <c r="J7" s="1277" t="e">
        <f>I6&amp;".1"</f>
        <v>#N/A</v>
      </c>
      <c r="K7" s="769"/>
      <c r="L7" s="770" t="s">
        <v>410</v>
      </c>
      <c r="M7" s="63"/>
      <c r="N7" s="63"/>
      <c r="P7" s="1279"/>
      <c r="Q7" s="1279">
        <v>1</v>
      </c>
      <c r="R7" s="68"/>
      <c r="S7" s="709" t="e">
        <f>$J7</f>
        <v>#N/A</v>
      </c>
      <c r="T7" s="165" t="s">
        <v>411</v>
      </c>
      <c r="U7" s="171"/>
      <c r="V7" s="1309"/>
      <c r="W7" s="1309"/>
      <c r="X7" s="1309"/>
      <c r="Y7" s="1309"/>
      <c r="Z7" s="1309"/>
      <c r="AA7" s="1309"/>
      <c r="AB7" s="1309"/>
      <c r="AC7" s="1309"/>
      <c r="AD7" s="1309"/>
      <c r="AE7" s="1309"/>
      <c r="AF7" s="1309"/>
      <c r="AG7" s="1309"/>
      <c r="AH7" s="1309"/>
      <c r="AI7" s="1309"/>
      <c r="AJ7" s="1309"/>
      <c r="AK7" s="1309"/>
      <c r="AL7" s="1309"/>
      <c r="AM7" s="1061" t="s">
        <v>412</v>
      </c>
      <c r="AO7" s="69"/>
      <c r="AP7" s="69" t="str">
        <f t="shared" si="0"/>
        <v>Группа потребителей</v>
      </c>
      <c r="AQ7" s="69"/>
      <c r="AR7" s="69"/>
      <c r="AS7" s="11">
        <v>0</v>
      </c>
    </row>
    <row r="8" spans="1:45" ht="11.25" hidden="1" customHeight="1">
      <c r="A8" s="769"/>
      <c r="B8" s="769"/>
      <c r="C8" s="769"/>
      <c r="D8" s="769"/>
      <c r="E8" s="1276"/>
      <c r="F8" s="1276"/>
      <c r="G8" s="1276"/>
      <c r="H8" s="1276"/>
      <c r="I8" s="1278"/>
      <c r="J8" s="1278"/>
      <c r="K8" s="1277" t="e">
        <f>J7&amp;".1"</f>
        <v>#N/A</v>
      </c>
      <c r="L8" s="770" t="s">
        <v>413</v>
      </c>
      <c r="M8" s="63"/>
      <c r="N8" s="63"/>
      <c r="O8" s="63"/>
      <c r="P8" s="1279"/>
      <c r="Q8" s="1279"/>
      <c r="R8" s="209">
        <v>1</v>
      </c>
      <c r="S8" s="1060" t="e">
        <f>$K8</f>
        <v>#N/A</v>
      </c>
      <c r="T8" s="1065"/>
      <c r="U8" s="1066"/>
      <c r="V8" s="1067"/>
      <c r="W8" s="767"/>
      <c r="X8" s="1067"/>
      <c r="Y8" s="1068"/>
      <c r="Z8" s="1310"/>
      <c r="AA8" s="1163" t="s">
        <v>66</v>
      </c>
      <c r="AB8" s="1310"/>
      <c r="AC8" s="1163" t="s">
        <v>66</v>
      </c>
      <c r="AD8" s="1067"/>
      <c r="AE8" s="767"/>
      <c r="AF8" s="1067"/>
      <c r="AG8" s="1068"/>
      <c r="AH8" s="1310"/>
      <c r="AI8" s="1163" t="s">
        <v>66</v>
      </c>
      <c r="AJ8" s="1310"/>
      <c r="AK8" s="1163" t="s">
        <v>66</v>
      </c>
      <c r="AL8" s="767"/>
      <c r="AM8" s="1298" t="s">
        <v>414</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8"/>
      <c r="AB9" s="1281"/>
      <c r="AC9" s="1158"/>
      <c r="AD9" s="191"/>
      <c r="AE9" s="191"/>
      <c r="AF9" s="191"/>
      <c r="AG9" s="192" t="str">
        <f>AH8&amp;"-"&amp;AJ8</f>
        <v>-</v>
      </c>
      <c r="AH9" s="1281"/>
      <c r="AI9" s="1158"/>
      <c r="AJ9" s="1281"/>
      <c r="AK9" s="1158"/>
      <c r="AL9" s="191"/>
      <c r="AM9" s="1299"/>
      <c r="AO9" s="69"/>
      <c r="AP9" s="69" t="str">
        <f t="shared" si="0"/>
        <v/>
      </c>
      <c r="AQ9" s="69"/>
      <c r="AR9" s="69"/>
      <c r="AS9" s="11">
        <v>0</v>
      </c>
    </row>
    <row r="10" spans="1:45" ht="11.25" hidden="1" customHeight="1">
      <c r="A10" s="769"/>
      <c r="B10" s="769"/>
      <c r="C10" s="769"/>
      <c r="D10" s="769"/>
      <c r="E10" s="1276"/>
      <c r="F10" s="1276"/>
      <c r="G10" s="1276"/>
      <c r="H10" s="1276"/>
      <c r="I10" s="1278"/>
      <c r="J10" s="1277"/>
      <c r="K10" s="769"/>
      <c r="L10" s="770"/>
      <c r="M10" s="63"/>
      <c r="N10" s="63"/>
      <c r="P10" s="1279"/>
      <c r="Q10" s="1279"/>
      <c r="R10" s="208"/>
      <c r="S10" s="742"/>
      <c r="T10" s="166" t="s">
        <v>415</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6"/>
      <c r="F11" s="1276"/>
      <c r="G11" s="1276"/>
      <c r="H11" s="1276"/>
      <c r="I11" s="1277"/>
      <c r="J11" s="769"/>
      <c r="K11" s="769"/>
      <c r="L11" s="770"/>
      <c r="M11" s="63"/>
      <c r="P11" s="1279"/>
      <c r="Q11" s="122"/>
      <c r="R11" s="208"/>
      <c r="S11" s="742"/>
      <c r="T11" s="211"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76"/>
      <c r="F12" s="1276"/>
      <c r="G12" s="1276"/>
      <c r="H12" s="1275"/>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421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422</v>
      </c>
      <c r="P22" s="506"/>
      <c r="Q22" s="772"/>
      <c r="R22" s="772"/>
      <c r="S22" s="426"/>
      <c r="T22" s="63" t="s">
        <v>423</v>
      </c>
      <c r="AA22" s="82" t="s">
        <v>424</v>
      </c>
      <c r="AC22" s="82" t="s">
        <v>425</v>
      </c>
      <c r="AD22" s="63" t="s">
        <v>423</v>
      </c>
      <c r="AI22" s="82" t="s">
        <v>426</v>
      </c>
      <c r="AK22" s="82" t="s">
        <v>425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4.75" customHeight="1">
      <c r="Q26" s="28"/>
      <c r="R26" s="28"/>
      <c r="S26" s="120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6"/>
      <c r="U26" s="1206"/>
      <c r="V26" s="1206"/>
      <c r="W26" s="1206"/>
      <c r="X26" s="1206"/>
      <c r="Y26" s="1206"/>
      <c r="Z26" s="1206"/>
      <c r="AA26" s="1206"/>
      <c r="AB26" s="1206"/>
      <c r="AC26" s="1206"/>
      <c r="AD26" s="1206"/>
      <c r="AE26" s="1206"/>
      <c r="AF26" s="1206"/>
      <c r="AG26" s="1206"/>
      <c r="AH26" s="1206"/>
      <c r="AI26" s="1206"/>
      <c r="AJ26" s="1206"/>
      <c r="AK26" s="59"/>
      <c r="AS26" s="11">
        <v>52</v>
      </c>
    </row>
    <row r="27" spans="1:45" ht="14.65" customHeight="1">
      <c r="Q27" s="28"/>
      <c r="R27" s="28"/>
      <c r="S27" s="1229" t="str">
        <f>IF(org=0,"Не определено",org)</f>
        <v>ООО "Инженерные сети"</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427</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428</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429</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430</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431</v>
      </c>
      <c r="AD36" s="11"/>
      <c r="AE36" s="11"/>
      <c r="AF36" s="11"/>
      <c r="AG36" s="11"/>
      <c r="AH36" s="11"/>
      <c r="AI36" s="11"/>
      <c r="AJ36" s="11"/>
      <c r="AK36" s="68" t="s">
        <v>431</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65" customHeight="1">
      <c r="Q39" s="28"/>
      <c r="R39" s="28"/>
      <c r="S39" s="1288" t="s">
        <v>88</v>
      </c>
      <c r="T39" s="1237" t="s">
        <v>432</v>
      </c>
      <c r="U39" s="172"/>
      <c r="V39" s="1289" t="s">
        <v>433</v>
      </c>
      <c r="W39" s="1290"/>
      <c r="X39" s="1290"/>
      <c r="Y39" s="1290"/>
      <c r="Z39" s="1290"/>
      <c r="AA39" s="1290"/>
      <c r="AB39" s="1291"/>
      <c r="AC39" s="1292" t="s">
        <v>434</v>
      </c>
      <c r="AD39" s="1289" t="s">
        <v>433</v>
      </c>
      <c r="AE39" s="1290"/>
      <c r="AF39" s="1290"/>
      <c r="AG39" s="1290"/>
      <c r="AH39" s="1290"/>
      <c r="AI39" s="1290"/>
      <c r="AJ39" s="1291"/>
      <c r="AK39" s="1292" t="s">
        <v>435</v>
      </c>
      <c r="AL39" s="1295" t="s">
        <v>436</v>
      </c>
      <c r="AM39" s="1148"/>
      <c r="AS39" s="11">
        <v>14</v>
      </c>
    </row>
    <row r="40" spans="1:45" ht="35.65" customHeight="1">
      <c r="Q40" s="28"/>
      <c r="R40" s="28"/>
      <c r="S40" s="1288"/>
      <c r="T40" s="1237"/>
      <c r="U40" s="607"/>
      <c r="V40" s="1207" t="s">
        <v>437</v>
      </c>
      <c r="W40" s="1284"/>
      <c r="X40" s="1129" t="s">
        <v>439</v>
      </c>
      <c r="Y40" s="1128"/>
      <c r="Z40" s="1129" t="s">
        <v>440</v>
      </c>
      <c r="AA40" s="1135"/>
      <c r="AB40" s="1128"/>
      <c r="AC40" s="1293"/>
      <c r="AD40" s="1207" t="s">
        <v>454</v>
      </c>
      <c r="AE40" s="1284"/>
      <c r="AF40" s="1129" t="s">
        <v>439</v>
      </c>
      <c r="AG40" s="1128"/>
      <c r="AH40" s="1129" t="s">
        <v>440</v>
      </c>
      <c r="AI40" s="1135"/>
      <c r="AJ40" s="1128"/>
      <c r="AK40" s="1293"/>
      <c r="AL40" s="1296"/>
      <c r="AM40" s="1148"/>
      <c r="AS40" s="11">
        <v>34</v>
      </c>
    </row>
    <row r="41" spans="1:45" ht="35.65" customHeight="1">
      <c r="A41" s="82"/>
      <c r="B41" s="82" t="s">
        <v>141</v>
      </c>
      <c r="C41" s="82" t="s">
        <v>142</v>
      </c>
      <c r="D41" s="82" t="s">
        <v>143</v>
      </c>
      <c r="E41" s="770" t="s">
        <v>441</v>
      </c>
      <c r="F41" s="770" t="s">
        <v>442</v>
      </c>
      <c r="G41" s="770" t="s">
        <v>443</v>
      </c>
      <c r="H41" s="770" t="s">
        <v>444</v>
      </c>
      <c r="I41" s="770" t="s">
        <v>445</v>
      </c>
      <c r="J41" s="770" t="s">
        <v>446</v>
      </c>
      <c r="K41" s="770" t="s">
        <v>447</v>
      </c>
      <c r="L41" s="770" t="s">
        <v>422</v>
      </c>
      <c r="Q41" s="28"/>
      <c r="R41" s="28"/>
      <c r="S41" s="1288"/>
      <c r="T41" s="1237"/>
      <c r="U41" s="173"/>
      <c r="V41" s="1261"/>
      <c r="W41" s="1285"/>
      <c r="X41" s="39" t="s">
        <v>448</v>
      </c>
      <c r="Y41" s="39" t="s">
        <v>449</v>
      </c>
      <c r="Z41" s="39" t="s">
        <v>450</v>
      </c>
      <c r="AA41" s="1242" t="s">
        <v>451</v>
      </c>
      <c r="AB41" s="1255"/>
      <c r="AC41" s="1294"/>
      <c r="AD41" s="1261"/>
      <c r="AE41" s="1285"/>
      <c r="AF41" s="39" t="s">
        <v>448</v>
      </c>
      <c r="AG41" s="39" t="s">
        <v>449</v>
      </c>
      <c r="AH41" s="39" t="s">
        <v>450</v>
      </c>
      <c r="AI41" s="1242" t="s">
        <v>451</v>
      </c>
      <c r="AJ41" s="1255"/>
      <c r="AK41" s="1294"/>
      <c r="AL41" s="1297"/>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115</v>
      </c>
      <c r="T42" s="726" t="s">
        <v>103</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69" t="s">
        <v>186</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129</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186</v>
      </c>
      <c r="B44" s="769" t="s">
        <v>187</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402</v>
      </c>
      <c r="AO44" s="69"/>
      <c r="AP44" s="69" t="str">
        <f t="shared" si="1"/>
        <v>Территория действия тарифа</v>
      </c>
      <c r="AQ44" s="69"/>
      <c r="AR44" s="69"/>
      <c r="AS44" s="11">
        <v>21</v>
      </c>
    </row>
    <row r="45" spans="1:45" ht="24" customHeight="1">
      <c r="A45" s="769" t="s">
        <v>186</v>
      </c>
      <c r="B45" s="769" t="s">
        <v>187</v>
      </c>
      <c r="C45" s="769" t="s">
        <v>188</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403</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404</v>
      </c>
      <c r="AO45" s="69"/>
      <c r="AP45" s="69" t="str">
        <f t="shared" si="1"/>
        <v xml:space="preserve">Наименование системы теплоснабжения </v>
      </c>
      <c r="AQ45" s="69"/>
      <c r="AR45" s="69"/>
      <c r="AS45" s="11">
        <v>23</v>
      </c>
    </row>
    <row r="46" spans="1:45" ht="21.95" customHeight="1">
      <c r="A46" s="769" t="s">
        <v>186</v>
      </c>
      <c r="B46" s="769" t="s">
        <v>187</v>
      </c>
      <c r="C46" s="769" t="s">
        <v>188</v>
      </c>
      <c r="D46" s="769" t="s">
        <v>189</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405</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406</v>
      </c>
      <c r="AO46" s="69"/>
      <c r="AP46" s="69" t="str">
        <f t="shared" si="1"/>
        <v xml:space="preserve">Источник тепловой энергии  </v>
      </c>
      <c r="AQ46" s="69"/>
      <c r="AR46" s="69"/>
      <c r="AS46" s="11">
        <v>21</v>
      </c>
    </row>
    <row r="47" spans="1:45" s="68" customFormat="1" ht="0" hidden="1" customHeight="1">
      <c r="A47" s="145" t="s">
        <v>186</v>
      </c>
      <c r="B47" s="145" t="s">
        <v>187</v>
      </c>
      <c r="C47" s="145" t="s">
        <v>188</v>
      </c>
      <c r="D47" s="145" t="s">
        <v>189</v>
      </c>
      <c r="E47" s="1276"/>
      <c r="F47" s="1276"/>
      <c r="G47" s="1276"/>
      <c r="H47" s="1276"/>
      <c r="I47" s="1277" t="str">
        <f>S46&amp;".1"</f>
        <v>....1</v>
      </c>
      <c r="J47" s="145"/>
      <c r="K47" s="145"/>
      <c r="L47" s="346" t="s">
        <v>407</v>
      </c>
      <c r="M47" s="290"/>
      <c r="N47" s="290"/>
      <c r="O47" s="290"/>
      <c r="P47" s="1279">
        <v>1</v>
      </c>
      <c r="Q47" s="122"/>
      <c r="R47" s="208"/>
      <c r="S47" s="362"/>
      <c r="T47" s="779"/>
      <c r="U47" s="780"/>
      <c r="V47" s="1306"/>
      <c r="W47" s="1307"/>
      <c r="X47" s="1307"/>
      <c r="Y47" s="1307"/>
      <c r="Z47" s="1307"/>
      <c r="AA47" s="1307"/>
      <c r="AB47" s="1307"/>
      <c r="AC47" s="1308"/>
      <c r="AD47" s="1306"/>
      <c r="AE47" s="1307"/>
      <c r="AF47" s="1307"/>
      <c r="AG47" s="1307"/>
      <c r="AH47" s="1307"/>
      <c r="AI47" s="1307"/>
      <c r="AJ47" s="1307"/>
      <c r="AK47" s="1307"/>
      <c r="AL47" s="1308"/>
      <c r="AM47" s="781"/>
      <c r="AO47" s="69"/>
      <c r="AP47" s="69" t="str">
        <f t="shared" si="1"/>
        <v/>
      </c>
      <c r="AQ47" s="69"/>
      <c r="AR47" s="69"/>
      <c r="AS47" s="68">
        <v>0</v>
      </c>
    </row>
    <row r="48" spans="1:45" ht="21.95" customHeight="1">
      <c r="A48" s="769" t="s">
        <v>186</v>
      </c>
      <c r="B48" s="769" t="s">
        <v>187</v>
      </c>
      <c r="C48" s="769" t="s">
        <v>188</v>
      </c>
      <c r="D48" s="769" t="s">
        <v>189</v>
      </c>
      <c r="E48" s="1276"/>
      <c r="F48" s="1276"/>
      <c r="G48" s="1276"/>
      <c r="H48" s="1276"/>
      <c r="I48" s="1278"/>
      <c r="J48" s="1277" t="str">
        <f>S46&amp;".1"</f>
        <v>....1</v>
      </c>
      <c r="K48" s="769"/>
      <c r="L48" s="770" t="s">
        <v>410</v>
      </c>
      <c r="P48" s="1279"/>
      <c r="Q48" s="1279">
        <v>1</v>
      </c>
      <c r="R48" s="209"/>
      <c r="S48" s="709" t="str">
        <f>$J48</f>
        <v>....1</v>
      </c>
      <c r="T48" s="165" t="s">
        <v>411</v>
      </c>
      <c r="U48" s="171"/>
      <c r="V48" s="1263"/>
      <c r="W48" s="1264"/>
      <c r="X48" s="1264"/>
      <c r="Y48" s="1264"/>
      <c r="Z48" s="1264"/>
      <c r="AA48" s="1264"/>
      <c r="AB48" s="1264"/>
      <c r="AC48" s="1265"/>
      <c r="AD48" s="1263"/>
      <c r="AE48" s="1264"/>
      <c r="AF48" s="1264"/>
      <c r="AG48" s="1264"/>
      <c r="AH48" s="1264"/>
      <c r="AI48" s="1264"/>
      <c r="AJ48" s="1264"/>
      <c r="AK48" s="1264"/>
      <c r="AL48" s="1265"/>
      <c r="AM48" s="729" t="s">
        <v>412</v>
      </c>
      <c r="AO48" s="69"/>
      <c r="AP48" s="69" t="str">
        <f t="shared" si="1"/>
        <v>Группа потребителей</v>
      </c>
      <c r="AQ48" s="69"/>
      <c r="AR48" s="69"/>
      <c r="AS48" s="11">
        <v>21</v>
      </c>
    </row>
    <row r="49" spans="1:45" ht="21.95" customHeight="1">
      <c r="A49" s="769" t="s">
        <v>186</v>
      </c>
      <c r="B49" s="769" t="s">
        <v>187</v>
      </c>
      <c r="C49" s="769" t="s">
        <v>188</v>
      </c>
      <c r="D49" s="769" t="s">
        <v>189</v>
      </c>
      <c r="E49" s="1276"/>
      <c r="F49" s="1276"/>
      <c r="G49" s="1276"/>
      <c r="H49" s="1276"/>
      <c r="I49" s="1278"/>
      <c r="J49" s="1278"/>
      <c r="K49" s="1277" t="str">
        <f>J48&amp;".1"</f>
        <v>....1.1</v>
      </c>
      <c r="L49" s="770" t="s">
        <v>413</v>
      </c>
      <c r="P49" s="1279"/>
      <c r="Q49" s="1279"/>
      <c r="R49" s="209">
        <v>1</v>
      </c>
      <c r="S49" s="709" t="str">
        <f>$K49</f>
        <v>....1.1</v>
      </c>
      <c r="T49" s="765"/>
      <c r="U49" s="171"/>
      <c r="V49" s="306"/>
      <c r="W49" s="191"/>
      <c r="X49" s="306"/>
      <c r="Y49" s="728"/>
      <c r="Z49" s="1280"/>
      <c r="AA49" s="1158" t="s">
        <v>66</v>
      </c>
      <c r="AB49" s="1280"/>
      <c r="AC49" s="1158" t="s">
        <v>66</v>
      </c>
      <c r="AD49" s="306"/>
      <c r="AE49" s="191"/>
      <c r="AF49" s="306"/>
      <c r="AG49" s="728"/>
      <c r="AH49" s="1280"/>
      <c r="AI49" s="1158" t="s">
        <v>66</v>
      </c>
      <c r="AJ49" s="1282"/>
      <c r="AK49" s="1158" t="s">
        <v>66</v>
      </c>
      <c r="AL49" s="766"/>
      <c r="AM49" s="1298" t="s">
        <v>455</v>
      </c>
      <c r="AN49" s="68" t="e">
        <f ca="1">STRCHECKDATE(V50:AL50)</f>
        <v>#NAME?</v>
      </c>
      <c r="AO49" s="69"/>
      <c r="AP49" s="69" t="str">
        <f t="shared" si="1"/>
        <v/>
      </c>
      <c r="AQ49" s="69"/>
      <c r="AR49" s="69"/>
      <c r="AS49" s="11">
        <v>21</v>
      </c>
    </row>
    <row r="50" spans="1:45" ht="1.1499999999999999" customHeight="1">
      <c r="A50" s="769" t="s">
        <v>186</v>
      </c>
      <c r="B50" s="769" t="s">
        <v>187</v>
      </c>
      <c r="C50" s="769" t="s">
        <v>188</v>
      </c>
      <c r="D50" s="769" t="s">
        <v>189</v>
      </c>
      <c r="E50" s="1276"/>
      <c r="F50" s="1276"/>
      <c r="G50" s="1276"/>
      <c r="H50" s="1276"/>
      <c r="I50" s="1278"/>
      <c r="J50" s="1278"/>
      <c r="K50" s="1277"/>
      <c r="L50" s="770"/>
      <c r="P50" s="1279"/>
      <c r="Q50" s="1279"/>
      <c r="R50" s="209"/>
      <c r="S50" s="65"/>
      <c r="T50" s="171"/>
      <c r="U50" s="171"/>
      <c r="V50" s="191"/>
      <c r="W50" s="191"/>
      <c r="X50" s="191"/>
      <c r="Y50" s="192" t="str">
        <f>Z49&amp;"-"&amp;AB49</f>
        <v>-</v>
      </c>
      <c r="Z50" s="1281"/>
      <c r="AA50" s="1158"/>
      <c r="AB50" s="1281"/>
      <c r="AC50" s="1158"/>
      <c r="AD50" s="191"/>
      <c r="AE50" s="191"/>
      <c r="AF50" s="191"/>
      <c r="AG50" s="192" t="str">
        <f>AH49&amp;"-"&amp;AJ49</f>
        <v>-</v>
      </c>
      <c r="AH50" s="1281"/>
      <c r="AI50" s="1158"/>
      <c r="AJ50" s="1283"/>
      <c r="AK50" s="1158"/>
      <c r="AL50" s="767"/>
      <c r="AM50" s="1299"/>
      <c r="AO50" s="69"/>
      <c r="AP50" s="69" t="str">
        <f t="shared" si="1"/>
        <v/>
      </c>
      <c r="AQ50" s="69"/>
      <c r="AR50" s="69"/>
      <c r="AS50" s="11">
        <v>1</v>
      </c>
    </row>
    <row r="51" spans="1:45" ht="11.45" customHeight="1">
      <c r="A51" s="769" t="s">
        <v>186</v>
      </c>
      <c r="B51" s="769" t="s">
        <v>187</v>
      </c>
      <c r="C51" s="769" t="s">
        <v>188</v>
      </c>
      <c r="D51" s="769" t="s">
        <v>189</v>
      </c>
      <c r="E51" s="1276"/>
      <c r="F51" s="1276"/>
      <c r="G51" s="1276"/>
      <c r="H51" s="1276"/>
      <c r="I51" s="1278"/>
      <c r="J51" s="1277"/>
      <c r="K51" s="769"/>
      <c r="L51" s="770"/>
      <c r="P51" s="1279"/>
      <c r="Q51" s="1279"/>
      <c r="R51" s="208"/>
      <c r="S51" s="742"/>
      <c r="T51" s="166" t="s">
        <v>415</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186</v>
      </c>
      <c r="B52" s="769" t="s">
        <v>187</v>
      </c>
      <c r="C52" s="769" t="s">
        <v>188</v>
      </c>
      <c r="D52" s="769" t="s">
        <v>189</v>
      </c>
      <c r="E52" s="1276"/>
      <c r="F52" s="1276"/>
      <c r="G52" s="1276"/>
      <c r="H52" s="1276"/>
      <c r="I52" s="1277"/>
      <c r="J52" s="769"/>
      <c r="K52" s="769"/>
      <c r="L52" s="770"/>
      <c r="P52" s="1279"/>
      <c r="Q52" s="122"/>
      <c r="R52" s="208"/>
      <c r="S52" s="742"/>
      <c r="T52" s="211"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186</v>
      </c>
      <c r="B53" s="769" t="s">
        <v>187</v>
      </c>
      <c r="C53" s="769" t="s">
        <v>188</v>
      </c>
      <c r="D53" s="769" t="s">
        <v>189</v>
      </c>
      <c r="E53" s="1276"/>
      <c r="F53" s="1276"/>
      <c r="G53" s="1276"/>
      <c r="H53" s="1275"/>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186</v>
      </c>
      <c r="B54" s="145" t="s">
        <v>187</v>
      </c>
      <c r="C54" s="145" t="s">
        <v>188</v>
      </c>
      <c r="D54" s="145"/>
      <c r="E54" s="1276"/>
      <c r="F54" s="1276"/>
      <c r="G54" s="127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186</v>
      </c>
      <c r="B55" s="145" t="s">
        <v>187</v>
      </c>
      <c r="C55" s="145"/>
      <c r="D55" s="145"/>
      <c r="E55" s="1276"/>
      <c r="F55" s="1275"/>
      <c r="G55" s="145"/>
      <c r="H55" s="145"/>
      <c r="I55" s="145"/>
      <c r="J55" s="145"/>
      <c r="K55" s="145"/>
      <c r="L55" s="346"/>
      <c r="M55" s="759"/>
      <c r="N55" s="759"/>
      <c r="P55" s="104"/>
      <c r="Q55" s="755"/>
      <c r="R55" s="104"/>
      <c r="S55" s="760"/>
      <c r="T55" s="762" t="s">
        <v>419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186</v>
      </c>
      <c r="B56" s="145"/>
      <c r="C56" s="145"/>
      <c r="D56" s="145"/>
      <c r="E56" s="1275"/>
      <c r="F56" s="145"/>
      <c r="G56" s="145"/>
      <c r="H56" s="145"/>
      <c r="I56" s="145"/>
      <c r="J56" s="145"/>
      <c r="K56" s="145"/>
      <c r="L56" s="346"/>
      <c r="M56" s="759"/>
      <c r="N56" s="759"/>
      <c r="P56" s="104"/>
      <c r="Q56" s="755"/>
      <c r="R56" s="104"/>
      <c r="S56" s="760"/>
      <c r="T56" s="762" t="s">
        <v>420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452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3.2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22</v>
      </c>
    </row>
    <row r="60" spans="1:45" ht="30.4"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29</v>
      </c>
    </row>
    <row r="61" spans="1:45" ht="42" customHeight="1">
      <c r="O61" s="63"/>
      <c r="T61" s="1274"/>
      <c r="U61" s="1274"/>
      <c r="V61" s="1274"/>
      <c r="W61" s="1274"/>
      <c r="X61" s="1274"/>
      <c r="Y61" s="1274"/>
      <c r="Z61" s="1274"/>
      <c r="AA61" s="1274"/>
      <c r="AB61" s="1274"/>
      <c r="AC61" s="1274"/>
      <c r="AD61" s="1274"/>
      <c r="AE61" s="1274"/>
      <c r="AF61" s="1274"/>
      <c r="AG61" s="1274"/>
      <c r="AH61" s="1274"/>
      <c r="AI61" s="1274"/>
      <c r="AJ61" s="1274"/>
      <c r="AK61" s="1274"/>
      <c r="AL61" s="1274"/>
      <c r="AM61" s="1274"/>
      <c r="AS61" s="11">
        <v>40</v>
      </c>
    </row>
    <row r="62" spans="1:45" ht="14.65" customHeight="1">
      <c r="O62" s="63"/>
      <c r="AS62" s="11">
        <v>14</v>
      </c>
    </row>
    <row r="63" spans="1:45" ht="21" customHeight="1">
      <c r="O63" s="63"/>
      <c r="S63" s="198"/>
      <c r="T63" s="1188"/>
      <c r="U63" s="1274"/>
      <c r="V63" s="1274"/>
      <c r="W63" s="1274"/>
      <c r="X63" s="1274"/>
      <c r="Y63" s="1274"/>
      <c r="Z63" s="1274"/>
      <c r="AA63" s="1274"/>
      <c r="AB63" s="1274"/>
      <c r="AC63" s="1274"/>
      <c r="AD63" s="1274"/>
      <c r="AE63" s="1274"/>
      <c r="AF63" s="1274"/>
      <c r="AG63" s="1274"/>
      <c r="AH63" s="1274"/>
      <c r="AI63" s="1274"/>
      <c r="AJ63" s="1274"/>
      <c r="AK63" s="1274"/>
      <c r="AL63" s="1274"/>
      <c r="AM63" s="1274"/>
      <c r="AS63" s="11">
        <v>20</v>
      </c>
    </row>
    <row r="64" spans="1:45" ht="29.25" customHeight="1">
      <c r="O64" s="63"/>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35.65" customHeight="1">
      <c r="T65" s="1274"/>
      <c r="U65" s="1274"/>
      <c r="V65" s="1274"/>
      <c r="W65" s="1274"/>
      <c r="X65" s="1274"/>
      <c r="Y65" s="1274"/>
      <c r="Z65" s="1274"/>
      <c r="AA65" s="1274"/>
      <c r="AB65" s="1274"/>
      <c r="AC65" s="1274"/>
      <c r="AD65" s="1274"/>
      <c r="AE65" s="1274"/>
      <c r="AF65" s="1274"/>
      <c r="AG65" s="1274"/>
      <c r="AH65" s="1274"/>
      <c r="AI65" s="1274"/>
      <c r="AJ65" s="1274"/>
      <c r="AK65" s="1274"/>
      <c r="AL65" s="1274"/>
      <c r="AM65" s="1274"/>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37B23-0CC7-F474-B625-67389DDFF72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400</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402</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403</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405</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406</v>
      </c>
      <c r="AO5" s="69"/>
      <c r="AP5" s="69" t="str">
        <f t="shared" si="0"/>
        <v xml:space="preserve">Источник тепловой энергии  </v>
      </c>
      <c r="AQ5" s="69"/>
      <c r="AR5" s="69"/>
      <c r="AS5" s="11">
        <v>0</v>
      </c>
    </row>
    <row r="6" spans="1:45" ht="14.25" hidden="1" customHeight="1">
      <c r="A6" s="769"/>
      <c r="B6" s="769"/>
      <c r="C6" s="769"/>
      <c r="D6" s="769"/>
      <c r="E6" s="1276"/>
      <c r="F6" s="1276"/>
      <c r="G6" s="1276"/>
      <c r="H6" s="1276"/>
      <c r="I6" s="1277" t="e">
        <f>S5&amp;".1"</f>
        <v>#N/A</v>
      </c>
      <c r="J6" s="769"/>
      <c r="K6" s="769"/>
      <c r="L6" s="770" t="s">
        <v>407</v>
      </c>
      <c r="M6" s="63"/>
      <c r="P6" s="1279">
        <v>1</v>
      </c>
      <c r="Q6" s="122"/>
      <c r="R6" s="208"/>
      <c r="S6" s="362"/>
      <c r="T6" s="779"/>
      <c r="U6" s="780"/>
      <c r="V6" s="1306"/>
      <c r="W6" s="1307"/>
      <c r="X6" s="1307"/>
      <c r="Y6" s="1307"/>
      <c r="Z6" s="1307"/>
      <c r="AA6" s="1307"/>
      <c r="AB6" s="1307"/>
      <c r="AC6" s="1308"/>
      <c r="AD6" s="1306"/>
      <c r="AE6" s="1307"/>
      <c r="AF6" s="1307"/>
      <c r="AG6" s="1307"/>
      <c r="AH6" s="1307"/>
      <c r="AI6" s="1307"/>
      <c r="AJ6" s="1307"/>
      <c r="AK6" s="1307"/>
      <c r="AL6" s="1308"/>
      <c r="AM6" s="781"/>
      <c r="AO6" s="69"/>
      <c r="AP6" s="69" t="str">
        <f t="shared" si="0"/>
        <v/>
      </c>
      <c r="AQ6" s="69"/>
      <c r="AR6" s="69"/>
      <c r="AS6" s="11">
        <v>0</v>
      </c>
    </row>
    <row r="7" spans="1:45" ht="21" hidden="1" customHeight="1">
      <c r="A7" s="769"/>
      <c r="B7" s="769"/>
      <c r="C7" s="769"/>
      <c r="D7" s="769"/>
      <c r="E7" s="1276"/>
      <c r="F7" s="1276"/>
      <c r="G7" s="1276"/>
      <c r="H7" s="1276"/>
      <c r="I7" s="1278"/>
      <c r="J7" s="1277" t="e">
        <f>I6&amp;".1"</f>
        <v>#N/A</v>
      </c>
      <c r="K7" s="769"/>
      <c r="L7" s="770" t="s">
        <v>410</v>
      </c>
      <c r="M7" s="63"/>
      <c r="N7" s="63"/>
      <c r="P7" s="1279"/>
      <c r="Q7" s="1279">
        <v>1</v>
      </c>
      <c r="R7" s="209"/>
      <c r="S7" s="709" t="e">
        <f>$J7</f>
        <v>#N/A</v>
      </c>
      <c r="T7" s="165" t="s">
        <v>411</v>
      </c>
      <c r="U7" s="171"/>
      <c r="V7" s="1263"/>
      <c r="W7" s="1264"/>
      <c r="X7" s="1264"/>
      <c r="Y7" s="1264"/>
      <c r="Z7" s="1264"/>
      <c r="AA7" s="1264"/>
      <c r="AB7" s="1264"/>
      <c r="AC7" s="1265"/>
      <c r="AD7" s="1263"/>
      <c r="AE7" s="1264"/>
      <c r="AF7" s="1264"/>
      <c r="AG7" s="1264"/>
      <c r="AH7" s="1264"/>
      <c r="AI7" s="1264"/>
      <c r="AJ7" s="1264"/>
      <c r="AK7" s="1264"/>
      <c r="AL7" s="1265"/>
      <c r="AM7" s="729" t="s">
        <v>412</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413</v>
      </c>
      <c r="M8" s="63"/>
      <c r="N8" s="63"/>
      <c r="O8" s="63"/>
      <c r="P8" s="1279"/>
      <c r="Q8" s="1279"/>
      <c r="R8" s="209">
        <v>1</v>
      </c>
      <c r="S8" s="709" t="e">
        <f>$K8</f>
        <v>#N/A</v>
      </c>
      <c r="T8" s="765"/>
      <c r="U8" s="171"/>
      <c r="V8" s="306"/>
      <c r="W8" s="191"/>
      <c r="X8" s="306"/>
      <c r="Y8" s="728"/>
      <c r="Z8" s="1280"/>
      <c r="AA8" s="1158" t="s">
        <v>66</v>
      </c>
      <c r="AB8" s="1280"/>
      <c r="AC8" s="1158" t="s">
        <v>66</v>
      </c>
      <c r="AD8" s="306"/>
      <c r="AE8" s="191"/>
      <c r="AF8" s="306"/>
      <c r="AG8" s="728"/>
      <c r="AH8" s="1280"/>
      <c r="AI8" s="1158" t="s">
        <v>66</v>
      </c>
      <c r="AJ8" s="1280"/>
      <c r="AK8" s="1158" t="s">
        <v>66</v>
      </c>
      <c r="AL8" s="191"/>
      <c r="AM8" s="1298" t="s">
        <v>414</v>
      </c>
      <c r="AN8" s="68" t="e">
        <f ca="1">STRCHECKDATE(V9:AL9)</f>
        <v>#NAME?</v>
      </c>
      <c r="AO8" s="69"/>
      <c r="AP8" s="69" t="str">
        <f t="shared" si="0"/>
        <v/>
      </c>
      <c r="AQ8" s="69"/>
      <c r="AR8" s="69"/>
      <c r="AS8" s="11">
        <v>0</v>
      </c>
    </row>
    <row r="9" spans="1:45" ht="14.2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8"/>
      <c r="AB9" s="1281"/>
      <c r="AC9" s="1158"/>
      <c r="AD9" s="191"/>
      <c r="AE9" s="191"/>
      <c r="AF9" s="191"/>
      <c r="AG9" s="192" t="str">
        <f>AH8&amp;"-"&amp;AJ8</f>
        <v>-</v>
      </c>
      <c r="AH9" s="1281"/>
      <c r="AI9" s="1158"/>
      <c r="AJ9" s="1281"/>
      <c r="AK9" s="1158"/>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6" t="s">
        <v>415</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6"/>
      <c r="F11" s="1276"/>
      <c r="G11" s="1276"/>
      <c r="H11" s="1276"/>
      <c r="I11" s="1277"/>
      <c r="J11" s="769"/>
      <c r="K11" s="769"/>
      <c r="L11" s="770"/>
      <c r="M11" s="63"/>
      <c r="P11" s="1279"/>
      <c r="Q11" s="122"/>
      <c r="R11" s="208"/>
      <c r="S11" s="742"/>
      <c r="T11" s="211"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76"/>
      <c r="F13" s="1276"/>
      <c r="G13" s="1275"/>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76"/>
      <c r="F14" s="1275"/>
      <c r="G14" s="145"/>
      <c r="H14" s="145"/>
      <c r="I14" s="145"/>
      <c r="J14" s="145"/>
      <c r="K14" s="145"/>
      <c r="L14" s="346"/>
      <c r="M14" s="759"/>
      <c r="N14" s="759"/>
      <c r="P14" s="104"/>
      <c r="Q14" s="755"/>
      <c r="R14" s="104"/>
      <c r="S14" s="760"/>
      <c r="T14" s="761" t="s">
        <v>419</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75"/>
      <c r="F15" s="145"/>
      <c r="G15" s="145"/>
      <c r="H15" s="145"/>
      <c r="I15" s="145"/>
      <c r="J15" s="145"/>
      <c r="K15" s="145"/>
      <c r="L15" s="346"/>
      <c r="M15" s="759"/>
      <c r="N15" s="759"/>
      <c r="P15" s="104"/>
      <c r="Q15" s="755"/>
      <c r="R15" s="104"/>
      <c r="S15" s="760"/>
      <c r="T15" s="762" t="s">
        <v>420</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421</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422</v>
      </c>
      <c r="P22" s="506"/>
      <c r="Q22" s="772"/>
      <c r="R22" s="772"/>
      <c r="S22" s="426"/>
      <c r="T22" s="63" t="s">
        <v>423</v>
      </c>
      <c r="AA22" s="82" t="s">
        <v>424</v>
      </c>
      <c r="AC22" s="82" t="s">
        <v>425</v>
      </c>
      <c r="AD22" s="63" t="s">
        <v>423</v>
      </c>
      <c r="AI22" s="82" t="s">
        <v>426</v>
      </c>
      <c r="AK22" s="82" t="s">
        <v>425</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3.45" customHeight="1">
      <c r="Q26" s="28"/>
      <c r="R26" s="28"/>
      <c r="S26" s="12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6"/>
      <c r="U26" s="1256"/>
      <c r="V26" s="1256"/>
      <c r="W26" s="1256"/>
      <c r="X26" s="1256"/>
      <c r="Y26" s="1256"/>
      <c r="Z26" s="1256"/>
      <c r="AA26" s="1256"/>
      <c r="AB26" s="1256"/>
      <c r="AC26" s="1256"/>
      <c r="AD26" s="1256"/>
      <c r="AE26" s="1256"/>
      <c r="AF26" s="1256"/>
      <c r="AG26" s="1256"/>
      <c r="AH26" s="1256"/>
      <c r="AI26" s="1256"/>
      <c r="AJ26" s="1256"/>
      <c r="AK26" s="59"/>
      <c r="AS26" s="11">
        <v>51</v>
      </c>
    </row>
    <row r="27" spans="1:45" ht="14.65" customHeight="1">
      <c r="Q27" s="28"/>
      <c r="R27" s="28"/>
      <c r="S27" s="1229" t="str">
        <f>IF(org=0,"Не определено",org)</f>
        <v>ООО "Инженерные сети"</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427</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428</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429</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66" t="s">
        <v>430</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431</v>
      </c>
      <c r="AD36" s="11"/>
      <c r="AE36" s="11"/>
      <c r="AF36" s="11"/>
      <c r="AG36" s="11"/>
      <c r="AH36" s="11"/>
      <c r="AI36" s="11"/>
      <c r="AJ36" s="11"/>
      <c r="AK36" s="68" t="s">
        <v>431</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65" customHeight="1">
      <c r="Q39" s="28"/>
      <c r="R39" s="28"/>
      <c r="S39" s="1288" t="s">
        <v>88</v>
      </c>
      <c r="T39" s="1237" t="s">
        <v>432</v>
      </c>
      <c r="U39" s="172"/>
      <c r="V39" s="1289" t="s">
        <v>433</v>
      </c>
      <c r="W39" s="1290"/>
      <c r="X39" s="1290"/>
      <c r="Y39" s="1290"/>
      <c r="Z39" s="1290"/>
      <c r="AA39" s="1290"/>
      <c r="AB39" s="1291"/>
      <c r="AC39" s="1292" t="s">
        <v>434</v>
      </c>
      <c r="AD39" s="1289" t="s">
        <v>433</v>
      </c>
      <c r="AE39" s="1290"/>
      <c r="AF39" s="1290"/>
      <c r="AG39" s="1290"/>
      <c r="AH39" s="1290"/>
      <c r="AI39" s="1290"/>
      <c r="AJ39" s="1291"/>
      <c r="AK39" s="1292" t="s">
        <v>435</v>
      </c>
      <c r="AL39" s="1295" t="s">
        <v>436</v>
      </c>
      <c r="AM39" s="1148"/>
      <c r="AS39" s="11">
        <v>14</v>
      </c>
    </row>
    <row r="40" spans="1:45" ht="35.65" customHeight="1">
      <c r="Q40" s="28"/>
      <c r="R40" s="28"/>
      <c r="S40" s="1288"/>
      <c r="T40" s="1237"/>
      <c r="U40" s="607"/>
      <c r="V40" s="1207" t="s">
        <v>437</v>
      </c>
      <c r="W40" s="1284"/>
      <c r="X40" s="1129" t="s">
        <v>439</v>
      </c>
      <c r="Y40" s="1128"/>
      <c r="Z40" s="1129" t="s">
        <v>440</v>
      </c>
      <c r="AA40" s="1135"/>
      <c r="AB40" s="1128"/>
      <c r="AC40" s="1293"/>
      <c r="AD40" s="1207" t="s">
        <v>454</v>
      </c>
      <c r="AE40" s="1284"/>
      <c r="AF40" s="1129" t="s">
        <v>439</v>
      </c>
      <c r="AG40" s="1128"/>
      <c r="AH40" s="1129" t="s">
        <v>440</v>
      </c>
      <c r="AI40" s="1135"/>
      <c r="AJ40" s="1128"/>
      <c r="AK40" s="1293"/>
      <c r="AL40" s="1296"/>
      <c r="AM40" s="1148"/>
      <c r="AS40" s="11">
        <v>34</v>
      </c>
    </row>
    <row r="41" spans="1:45" ht="35.65" customHeight="1">
      <c r="A41" s="82"/>
      <c r="B41" s="82" t="s">
        <v>141</v>
      </c>
      <c r="C41" s="82" t="s">
        <v>142</v>
      </c>
      <c r="D41" s="82" t="s">
        <v>143</v>
      </c>
      <c r="E41" s="770" t="s">
        <v>441</v>
      </c>
      <c r="F41" s="770" t="s">
        <v>442</v>
      </c>
      <c r="G41" s="770" t="s">
        <v>443</v>
      </c>
      <c r="H41" s="770" t="s">
        <v>444</v>
      </c>
      <c r="I41" s="770" t="s">
        <v>445</v>
      </c>
      <c r="J41" s="770" t="s">
        <v>446</v>
      </c>
      <c r="K41" s="770" t="s">
        <v>447</v>
      </c>
      <c r="L41" s="770" t="s">
        <v>422</v>
      </c>
      <c r="Q41" s="28"/>
      <c r="R41" s="28"/>
      <c r="S41" s="1288"/>
      <c r="T41" s="1237"/>
      <c r="U41" s="173"/>
      <c r="V41" s="1261"/>
      <c r="W41" s="1285"/>
      <c r="X41" s="39" t="s">
        <v>448</v>
      </c>
      <c r="Y41" s="39" t="s">
        <v>449</v>
      </c>
      <c r="Z41" s="39" t="s">
        <v>450</v>
      </c>
      <c r="AA41" s="1242" t="s">
        <v>451</v>
      </c>
      <c r="AB41" s="1255"/>
      <c r="AC41" s="1294"/>
      <c r="AD41" s="1261"/>
      <c r="AE41" s="1285"/>
      <c r="AF41" s="39" t="s">
        <v>448</v>
      </c>
      <c r="AG41" s="39" t="s">
        <v>449</v>
      </c>
      <c r="AH41" s="39" t="s">
        <v>450</v>
      </c>
      <c r="AI41" s="1242" t="s">
        <v>451</v>
      </c>
      <c r="AJ41" s="1255"/>
      <c r="AK41" s="1294"/>
      <c r="AL41" s="1297"/>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115</v>
      </c>
      <c r="T42" s="726" t="s">
        <v>103</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69" t="s">
        <v>192</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129</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192</v>
      </c>
      <c r="B44" s="769" t="s">
        <v>193</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402</v>
      </c>
      <c r="AO44" s="69"/>
      <c r="AP44" s="69" t="str">
        <f t="shared" si="1"/>
        <v>Территория действия тарифа</v>
      </c>
      <c r="AQ44" s="69"/>
      <c r="AR44" s="69"/>
      <c r="AS44" s="11">
        <v>21</v>
      </c>
    </row>
    <row r="45" spans="1:45" ht="24" customHeight="1">
      <c r="A45" s="769" t="s">
        <v>192</v>
      </c>
      <c r="B45" s="769" t="s">
        <v>193</v>
      </c>
      <c r="C45" s="769" t="s">
        <v>194</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403</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404</v>
      </c>
      <c r="AO45" s="69"/>
      <c r="AP45" s="69" t="str">
        <f t="shared" si="1"/>
        <v xml:space="preserve">Наименование системы теплоснабжения </v>
      </c>
      <c r="AQ45" s="69"/>
      <c r="AR45" s="69"/>
      <c r="AS45" s="11">
        <v>23</v>
      </c>
    </row>
    <row r="46" spans="1:45" ht="21.95" customHeight="1">
      <c r="A46" s="769" t="s">
        <v>192</v>
      </c>
      <c r="B46" s="769" t="s">
        <v>193</v>
      </c>
      <c r="C46" s="769" t="s">
        <v>194</v>
      </c>
      <c r="D46" s="769" t="s">
        <v>195</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405</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406</v>
      </c>
      <c r="AO46" s="69"/>
      <c r="AP46" s="69" t="str">
        <f t="shared" si="1"/>
        <v xml:space="preserve">Источник тепловой энергии  </v>
      </c>
      <c r="AQ46" s="69"/>
      <c r="AR46" s="69"/>
      <c r="AS46" s="11">
        <v>21</v>
      </c>
    </row>
    <row r="47" spans="1:45" s="68" customFormat="1" ht="0" hidden="1" customHeight="1">
      <c r="A47" s="145" t="s">
        <v>192</v>
      </c>
      <c r="B47" s="145" t="s">
        <v>193</v>
      </c>
      <c r="C47" s="145" t="s">
        <v>194</v>
      </c>
      <c r="D47" s="145" t="s">
        <v>195</v>
      </c>
      <c r="E47" s="1276"/>
      <c r="F47" s="1276"/>
      <c r="G47" s="1276"/>
      <c r="H47" s="1276"/>
      <c r="I47" s="1277" t="str">
        <f>S46&amp;".1"</f>
        <v>....1</v>
      </c>
      <c r="J47" s="145"/>
      <c r="K47" s="145"/>
      <c r="L47" s="346" t="s">
        <v>407</v>
      </c>
      <c r="M47" s="290"/>
      <c r="N47" s="290"/>
      <c r="O47" s="290"/>
      <c r="P47" s="1279">
        <v>1</v>
      </c>
      <c r="Q47" s="122"/>
      <c r="R47" s="208"/>
      <c r="S47" s="362"/>
      <c r="T47" s="779"/>
      <c r="U47" s="780"/>
      <c r="V47" s="1306"/>
      <c r="W47" s="1307"/>
      <c r="X47" s="1307"/>
      <c r="Y47" s="1307"/>
      <c r="Z47" s="1307"/>
      <c r="AA47" s="1307"/>
      <c r="AB47" s="1307"/>
      <c r="AC47" s="1308"/>
      <c r="AD47" s="1306"/>
      <c r="AE47" s="1307"/>
      <c r="AF47" s="1307"/>
      <c r="AG47" s="1307"/>
      <c r="AH47" s="1307"/>
      <c r="AI47" s="1307"/>
      <c r="AJ47" s="1307"/>
      <c r="AK47" s="1307"/>
      <c r="AL47" s="1308"/>
      <c r="AM47" s="781"/>
      <c r="AO47" s="69"/>
      <c r="AP47" s="69" t="str">
        <f t="shared" si="1"/>
        <v/>
      </c>
      <c r="AQ47" s="69"/>
      <c r="AR47" s="69"/>
      <c r="AS47" s="68">
        <v>0</v>
      </c>
    </row>
    <row r="48" spans="1:45" ht="21.95" customHeight="1">
      <c r="A48" s="769" t="s">
        <v>192</v>
      </c>
      <c r="B48" s="769" t="s">
        <v>193</v>
      </c>
      <c r="C48" s="769" t="s">
        <v>194</v>
      </c>
      <c r="D48" s="769" t="s">
        <v>195</v>
      </c>
      <c r="E48" s="1276"/>
      <c r="F48" s="1276"/>
      <c r="G48" s="1276"/>
      <c r="H48" s="1276"/>
      <c r="I48" s="1278"/>
      <c r="J48" s="1277" t="str">
        <f>S46&amp;".1"</f>
        <v>....1</v>
      </c>
      <c r="K48" s="769"/>
      <c r="L48" s="770" t="s">
        <v>410</v>
      </c>
      <c r="P48" s="1279"/>
      <c r="Q48" s="1279">
        <v>1</v>
      </c>
      <c r="R48" s="209"/>
      <c r="S48" s="709" t="str">
        <f>$J48</f>
        <v>....1</v>
      </c>
      <c r="T48" s="165" t="s">
        <v>411</v>
      </c>
      <c r="U48" s="171"/>
      <c r="V48" s="1263"/>
      <c r="W48" s="1264"/>
      <c r="X48" s="1264"/>
      <c r="Y48" s="1264"/>
      <c r="Z48" s="1264"/>
      <c r="AA48" s="1264"/>
      <c r="AB48" s="1264"/>
      <c r="AC48" s="1265"/>
      <c r="AD48" s="1263"/>
      <c r="AE48" s="1264"/>
      <c r="AF48" s="1264"/>
      <c r="AG48" s="1264"/>
      <c r="AH48" s="1264"/>
      <c r="AI48" s="1264"/>
      <c r="AJ48" s="1264"/>
      <c r="AK48" s="1264"/>
      <c r="AL48" s="1265"/>
      <c r="AM48" s="729" t="s">
        <v>412</v>
      </c>
      <c r="AO48" s="69"/>
      <c r="AP48" s="69" t="str">
        <f t="shared" si="1"/>
        <v>Группа потребителей</v>
      </c>
      <c r="AQ48" s="69"/>
      <c r="AR48" s="69"/>
      <c r="AS48" s="11">
        <v>21</v>
      </c>
    </row>
    <row r="49" spans="1:45" ht="21.95" customHeight="1">
      <c r="A49" s="769" t="s">
        <v>192</v>
      </c>
      <c r="B49" s="769" t="s">
        <v>193</v>
      </c>
      <c r="C49" s="769" t="s">
        <v>194</v>
      </c>
      <c r="D49" s="769" t="s">
        <v>195</v>
      </c>
      <c r="E49" s="1276"/>
      <c r="F49" s="1276"/>
      <c r="G49" s="1276"/>
      <c r="H49" s="1276"/>
      <c r="I49" s="1278"/>
      <c r="J49" s="1278"/>
      <c r="K49" s="1277" t="str">
        <f>J48&amp;".1"</f>
        <v>....1.1</v>
      </c>
      <c r="L49" s="770" t="s">
        <v>413</v>
      </c>
      <c r="P49" s="1279"/>
      <c r="Q49" s="1279"/>
      <c r="R49" s="209">
        <v>1</v>
      </c>
      <c r="S49" s="709" t="str">
        <f>$K49</f>
        <v>....1.1</v>
      </c>
      <c r="T49" s="765"/>
      <c r="U49" s="171"/>
      <c r="V49" s="306"/>
      <c r="W49" s="191"/>
      <c r="X49" s="306"/>
      <c r="Y49" s="728"/>
      <c r="Z49" s="1280"/>
      <c r="AA49" s="1158" t="s">
        <v>66</v>
      </c>
      <c r="AB49" s="1280"/>
      <c r="AC49" s="1158" t="s">
        <v>66</v>
      </c>
      <c r="AD49" s="306"/>
      <c r="AE49" s="191"/>
      <c r="AF49" s="306"/>
      <c r="AG49" s="728"/>
      <c r="AH49" s="1280"/>
      <c r="AI49" s="1158" t="s">
        <v>66</v>
      </c>
      <c r="AJ49" s="1282"/>
      <c r="AK49" s="1158" t="s">
        <v>66</v>
      </c>
      <c r="AL49" s="766"/>
      <c r="AM49" s="1298" t="s">
        <v>455</v>
      </c>
      <c r="AN49" s="68" t="e">
        <f ca="1">STRCHECKDATE(V50:AL50)</f>
        <v>#NAME?</v>
      </c>
      <c r="AO49" s="69"/>
      <c r="AP49" s="69" t="str">
        <f t="shared" si="1"/>
        <v/>
      </c>
      <c r="AQ49" s="69"/>
      <c r="AR49" s="69"/>
      <c r="AS49" s="11">
        <v>21</v>
      </c>
    </row>
    <row r="50" spans="1:45" ht="0" hidden="1" customHeight="1">
      <c r="A50" s="769" t="s">
        <v>192</v>
      </c>
      <c r="B50" s="769" t="s">
        <v>193</v>
      </c>
      <c r="C50" s="769" t="s">
        <v>194</v>
      </c>
      <c r="D50" s="769" t="s">
        <v>195</v>
      </c>
      <c r="E50" s="1276"/>
      <c r="F50" s="1276"/>
      <c r="G50" s="1276"/>
      <c r="H50" s="1276"/>
      <c r="I50" s="1278"/>
      <c r="J50" s="1278"/>
      <c r="K50" s="1277"/>
      <c r="L50" s="770"/>
      <c r="P50" s="1279"/>
      <c r="Q50" s="1279"/>
      <c r="R50" s="209"/>
      <c r="S50" s="65"/>
      <c r="T50" s="171"/>
      <c r="U50" s="171"/>
      <c r="V50" s="191"/>
      <c r="W50" s="191"/>
      <c r="X50" s="191"/>
      <c r="Y50" s="192" t="str">
        <f>Z49&amp;"-"&amp;AB49</f>
        <v>-</v>
      </c>
      <c r="Z50" s="1281"/>
      <c r="AA50" s="1158"/>
      <c r="AB50" s="1281"/>
      <c r="AC50" s="1158"/>
      <c r="AD50" s="191"/>
      <c r="AE50" s="191"/>
      <c r="AF50" s="191"/>
      <c r="AG50" s="192" t="str">
        <f>AH49&amp;"-"&amp;AJ49</f>
        <v>-</v>
      </c>
      <c r="AH50" s="1281"/>
      <c r="AI50" s="1158"/>
      <c r="AJ50" s="1283"/>
      <c r="AK50" s="1158"/>
      <c r="AL50" s="767"/>
      <c r="AM50" s="1299"/>
      <c r="AO50" s="69"/>
      <c r="AP50" s="69" t="str">
        <f t="shared" si="1"/>
        <v/>
      </c>
      <c r="AQ50" s="69"/>
      <c r="AR50" s="69"/>
      <c r="AS50" s="11">
        <v>0</v>
      </c>
    </row>
    <row r="51" spans="1:45" ht="11.45" customHeight="1">
      <c r="A51" s="769" t="s">
        <v>192</v>
      </c>
      <c r="B51" s="769" t="s">
        <v>193</v>
      </c>
      <c r="C51" s="769" t="s">
        <v>194</v>
      </c>
      <c r="D51" s="769" t="s">
        <v>195</v>
      </c>
      <c r="E51" s="1276"/>
      <c r="F51" s="1276"/>
      <c r="G51" s="1276"/>
      <c r="H51" s="1276"/>
      <c r="I51" s="1278"/>
      <c r="J51" s="1277"/>
      <c r="K51" s="769"/>
      <c r="L51" s="770"/>
      <c r="P51" s="1279"/>
      <c r="Q51" s="1279"/>
      <c r="R51" s="208"/>
      <c r="S51" s="742"/>
      <c r="T51" s="166" t="s">
        <v>415</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192</v>
      </c>
      <c r="B52" s="769" t="s">
        <v>193</v>
      </c>
      <c r="C52" s="769" t="s">
        <v>194</v>
      </c>
      <c r="D52" s="769" t="s">
        <v>195</v>
      </c>
      <c r="E52" s="1276"/>
      <c r="F52" s="1276"/>
      <c r="G52" s="1276"/>
      <c r="H52" s="1276"/>
      <c r="I52" s="1277"/>
      <c r="J52" s="769"/>
      <c r="K52" s="769"/>
      <c r="L52" s="770"/>
      <c r="P52" s="1279"/>
      <c r="Q52" s="122"/>
      <c r="R52" s="208"/>
      <c r="S52" s="742"/>
      <c r="T52" s="211"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192</v>
      </c>
      <c r="B53" s="769" t="s">
        <v>193</v>
      </c>
      <c r="C53" s="769" t="s">
        <v>194</v>
      </c>
      <c r="D53" s="769" t="s">
        <v>195</v>
      </c>
      <c r="E53" s="1276"/>
      <c r="F53" s="1276"/>
      <c r="G53" s="1276"/>
      <c r="H53" s="1275"/>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192</v>
      </c>
      <c r="B54" s="145" t="s">
        <v>193</v>
      </c>
      <c r="C54" s="145" t="s">
        <v>194</v>
      </c>
      <c r="D54" s="145"/>
      <c r="E54" s="1276"/>
      <c r="F54" s="1276"/>
      <c r="G54" s="1275"/>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192</v>
      </c>
      <c r="B55" s="145" t="s">
        <v>193</v>
      </c>
      <c r="C55" s="145"/>
      <c r="D55" s="145"/>
      <c r="E55" s="1276"/>
      <c r="F55" s="1275"/>
      <c r="G55" s="145"/>
      <c r="H55" s="145"/>
      <c r="I55" s="145"/>
      <c r="J55" s="145"/>
      <c r="K55" s="145"/>
      <c r="L55" s="346"/>
      <c r="M55" s="759"/>
      <c r="N55" s="759"/>
      <c r="P55" s="104"/>
      <c r="Q55" s="755"/>
      <c r="R55" s="104"/>
      <c r="S55" s="760"/>
      <c r="T55" s="762" t="s">
        <v>419</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192</v>
      </c>
      <c r="B56" s="145"/>
      <c r="C56" s="145"/>
      <c r="D56" s="145"/>
      <c r="E56" s="1275"/>
      <c r="F56" s="145"/>
      <c r="G56" s="145"/>
      <c r="H56" s="145"/>
      <c r="I56" s="145"/>
      <c r="J56" s="145"/>
      <c r="K56" s="145"/>
      <c r="L56" s="346"/>
      <c r="M56" s="759"/>
      <c r="N56" s="759"/>
      <c r="P56" s="104"/>
      <c r="Q56" s="755"/>
      <c r="R56" s="104"/>
      <c r="S56" s="760"/>
      <c r="T56" s="762" t="s">
        <v>420</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1500000000000004" customHeight="1">
      <c r="A57" s="145"/>
      <c r="B57" s="145"/>
      <c r="C57" s="145"/>
      <c r="D57" s="145"/>
      <c r="E57" s="145"/>
      <c r="F57" s="145"/>
      <c r="G57" s="145"/>
      <c r="H57" s="145"/>
      <c r="I57" s="145"/>
      <c r="J57" s="145"/>
      <c r="K57" s="145"/>
      <c r="L57" s="346"/>
      <c r="M57" s="759"/>
      <c r="N57" s="759"/>
      <c r="P57" s="104"/>
      <c r="Q57" s="755"/>
      <c r="R57" s="104"/>
      <c r="S57" s="760"/>
      <c r="T57" s="762" t="s">
        <v>452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63"/>
      <c r="N58" s="63"/>
      <c r="O58" s="63"/>
      <c r="P58" s="11"/>
      <c r="Q58" s="11"/>
      <c r="R58" s="11"/>
      <c r="S58" s="11"/>
      <c r="AN58" s="11"/>
      <c r="AO58" s="11"/>
      <c r="AP58" s="11"/>
      <c r="AQ58" s="11"/>
      <c r="AR58" s="11"/>
      <c r="AS58" s="11">
        <v>11</v>
      </c>
    </row>
    <row r="59" spans="1:45" ht="14.6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14</v>
      </c>
    </row>
    <row r="60" spans="1:45" ht="14.6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14</v>
      </c>
    </row>
    <row r="61" spans="1:45" ht="14.65" customHeight="1">
      <c r="O61" s="63"/>
      <c r="T61" s="1274"/>
      <c r="U61" s="1274"/>
      <c r="V61" s="1274"/>
      <c r="W61" s="1274"/>
      <c r="X61" s="1274"/>
      <c r="Y61" s="1274"/>
      <c r="Z61" s="1274"/>
      <c r="AA61" s="1274"/>
      <c r="AB61" s="1274"/>
      <c r="AC61" s="1274"/>
      <c r="AD61" s="1274"/>
      <c r="AE61" s="1274"/>
      <c r="AF61" s="1274"/>
      <c r="AG61" s="1274"/>
      <c r="AH61" s="1274"/>
      <c r="AI61" s="1274"/>
      <c r="AJ61" s="1274"/>
      <c r="AK61" s="1274"/>
      <c r="AL61" s="1274"/>
      <c r="AM61" s="1274"/>
      <c r="AS61" s="11">
        <v>14</v>
      </c>
    </row>
    <row r="62" spans="1:45" ht="14.65" customHeight="1">
      <c r="O62" s="63"/>
      <c r="AS62" s="11">
        <v>14</v>
      </c>
    </row>
    <row r="63" spans="1:45" ht="14.65" customHeight="1">
      <c r="O63" s="63"/>
      <c r="S63" s="198"/>
      <c r="T63" s="1188"/>
      <c r="U63" s="1274"/>
      <c r="V63" s="1274"/>
      <c r="W63" s="1274"/>
      <c r="X63" s="1274"/>
      <c r="Y63" s="1274"/>
      <c r="Z63" s="1274"/>
      <c r="AA63" s="1274"/>
      <c r="AB63" s="1274"/>
      <c r="AC63" s="1274"/>
      <c r="AD63" s="1274"/>
      <c r="AE63" s="1274"/>
      <c r="AF63" s="1274"/>
      <c r="AG63" s="1274"/>
      <c r="AH63" s="1274"/>
      <c r="AI63" s="1274"/>
      <c r="AJ63" s="1274"/>
      <c r="AK63" s="1274"/>
      <c r="AL63" s="1274"/>
      <c r="AM63" s="1274"/>
      <c r="AS63" s="11">
        <v>14</v>
      </c>
    </row>
    <row r="64" spans="1:45" ht="14.65" customHeight="1">
      <c r="O64" s="63"/>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14</v>
      </c>
    </row>
    <row r="65" spans="1:45" ht="14.65" customHeight="1">
      <c r="T65" s="1274"/>
      <c r="U65" s="1274"/>
      <c r="V65" s="1274"/>
      <c r="W65" s="1274"/>
      <c r="X65" s="1274"/>
      <c r="Y65" s="1274"/>
      <c r="Z65" s="1274"/>
      <c r="AA65" s="1274"/>
      <c r="AB65" s="1274"/>
      <c r="AC65" s="1274"/>
      <c r="AD65" s="1274"/>
      <c r="AE65" s="1274"/>
      <c r="AF65" s="1274"/>
      <c r="AG65" s="1274"/>
      <c r="AH65" s="1274"/>
      <c r="AI65" s="1274"/>
      <c r="AJ65" s="1274"/>
      <c r="AK65" s="1274"/>
      <c r="AL65" s="1274"/>
      <c r="AM65" s="1274"/>
      <c r="AS65" s="11">
        <v>14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3D604-9FB7-9ADF-364B-9E389FB58ED7}">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2"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8" customWidth="1"/>
    <col min="49" max="49" width="10.5703125" style="11" hidden="1"/>
  </cols>
  <sheetData>
    <row r="1" spans="1:49" ht="22.5" hidden="1" customHeight="1">
      <c r="AW1" s="11" t="s">
        <v>14</v>
      </c>
    </row>
    <row r="2" spans="1:49" ht="21" hidden="1" customHeight="1">
      <c r="A2" s="731"/>
      <c r="B2" s="731"/>
      <c r="C2" s="731"/>
      <c r="D2" s="731"/>
      <c r="E2" s="1301">
        <v>1</v>
      </c>
      <c r="F2" s="731"/>
      <c r="G2" s="731"/>
      <c r="H2" s="731"/>
      <c r="I2" s="731"/>
      <c r="J2" s="731"/>
      <c r="K2" s="731"/>
      <c r="L2" s="731"/>
      <c r="M2" s="754"/>
      <c r="N2" s="342"/>
      <c r="O2" s="342"/>
      <c r="P2" s="342"/>
      <c r="R2" s="34"/>
      <c r="S2" s="34"/>
      <c r="T2" s="207"/>
      <c r="U2" s="709" t="e">
        <f>INDEX(PT_DIFFERENTIATION_NUM_NTAR,MATCH(A2,PT_DIFFERENTIATION_NTAR_ID,0))</f>
        <v>#N/A</v>
      </c>
      <c r="V2" s="67" t="s">
        <v>129</v>
      </c>
      <c r="W2" s="171"/>
      <c r="X2" s="1269"/>
      <c r="Y2" s="1270"/>
      <c r="Z2" s="1270"/>
      <c r="AA2" s="1270"/>
      <c r="AB2" s="1270"/>
      <c r="AC2" s="1270"/>
      <c r="AD2" s="1270"/>
      <c r="AE2" s="1270"/>
      <c r="AF2" s="1271"/>
      <c r="AG2" s="1269" t="e">
        <f>INDEX(PT_DIFFERENTIATION_NTAR,MATCH(A2,PT_DIFFERENTIATION_NTAR_ID,0))</f>
        <v>#N/A</v>
      </c>
      <c r="AH2" s="1270"/>
      <c r="AI2" s="1270"/>
      <c r="AJ2" s="1270"/>
      <c r="AK2" s="1270"/>
      <c r="AL2" s="1270"/>
      <c r="AM2" s="1270"/>
      <c r="AN2" s="1270"/>
      <c r="AO2" s="1270"/>
      <c r="AP2" s="1271"/>
      <c r="AQ2" s="729" t="s">
        <v>400</v>
      </c>
      <c r="AS2" s="69"/>
      <c r="AT2" s="69" t="str">
        <f t="shared" ref="AT2:AT8" si="0">IF(V2="","",V2)</f>
        <v>Наименование тарифа</v>
      </c>
      <c r="AU2" s="69"/>
      <c r="AV2" s="69"/>
      <c r="AW2" s="11">
        <v>0</v>
      </c>
    </row>
    <row r="3" spans="1:49" ht="21" hidden="1" customHeight="1">
      <c r="A3" s="731"/>
      <c r="B3" s="731"/>
      <c r="C3" s="731"/>
      <c r="D3" s="731"/>
      <c r="E3" s="1302"/>
      <c r="F3" s="1301">
        <v>1</v>
      </c>
      <c r="G3" s="731"/>
      <c r="H3" s="731"/>
      <c r="I3" s="731"/>
      <c r="J3" s="731"/>
      <c r="K3" s="731"/>
      <c r="L3" s="731"/>
      <c r="M3" s="754"/>
      <c r="N3" s="342"/>
      <c r="O3" s="342"/>
      <c r="P3" s="342"/>
      <c r="Q3" s="58"/>
      <c r="R3" s="204"/>
      <c r="S3" s="11"/>
      <c r="T3" s="205"/>
      <c r="U3" s="709" t="e">
        <f>INDEX(PT_DIFFERENTIATION_NUM_TER,MATCH(B3,PT_DIFFERENTIATION_TER_ID,0))</f>
        <v>#N/A</v>
      </c>
      <c r="V3" s="177" t="s">
        <v>401</v>
      </c>
      <c r="W3" s="171"/>
      <c r="X3" s="1269"/>
      <c r="Y3" s="1270"/>
      <c r="Z3" s="1270"/>
      <c r="AA3" s="1270"/>
      <c r="AB3" s="1270"/>
      <c r="AC3" s="1270"/>
      <c r="AD3" s="1270"/>
      <c r="AE3" s="1270"/>
      <c r="AF3" s="1271"/>
      <c r="AG3" s="1269" t="e">
        <f>INDEX(PT_DIFFERENTIATION_TER,MATCH(B3,PT_DIFFERENTIATION_TER_ID,0))</f>
        <v>#N/A</v>
      </c>
      <c r="AH3" s="1270"/>
      <c r="AI3" s="1270"/>
      <c r="AJ3" s="1270"/>
      <c r="AK3" s="1270"/>
      <c r="AL3" s="1270"/>
      <c r="AM3" s="1270"/>
      <c r="AN3" s="1270"/>
      <c r="AO3" s="1270"/>
      <c r="AP3" s="1271"/>
      <c r="AQ3" s="729" t="s">
        <v>402</v>
      </c>
      <c r="AS3" s="69"/>
      <c r="AT3" s="69" t="str">
        <f t="shared" si="0"/>
        <v>Территория действия тарифа</v>
      </c>
      <c r="AU3" s="69"/>
      <c r="AV3" s="69"/>
      <c r="AW3" s="11">
        <v>0</v>
      </c>
    </row>
    <row r="4" spans="1:49" ht="22.5" hidden="1" customHeight="1">
      <c r="A4" s="731"/>
      <c r="B4" s="731"/>
      <c r="C4" s="731"/>
      <c r="D4" s="731"/>
      <c r="E4" s="1302"/>
      <c r="F4" s="1302"/>
      <c r="G4" s="1301">
        <v>1</v>
      </c>
      <c r="H4" s="731"/>
      <c r="I4" s="731"/>
      <c r="J4" s="731"/>
      <c r="K4" s="731"/>
      <c r="L4" s="731"/>
      <c r="M4" s="754"/>
      <c r="N4" s="342"/>
      <c r="O4" s="342"/>
      <c r="P4" s="342"/>
      <c r="Q4" s="206"/>
      <c r="R4" s="204"/>
      <c r="S4" s="11"/>
      <c r="T4" s="205"/>
      <c r="U4" s="709" t="e">
        <f>INDEX(PT_DIFFERENTIATION_NUM_CS,MATCH(C4,PT_DIFFERENTIATION_CS_ID,0))</f>
        <v>#N/A</v>
      </c>
      <c r="V4" s="178" t="s">
        <v>403</v>
      </c>
      <c r="W4" s="171"/>
      <c r="X4" s="1269"/>
      <c r="Y4" s="1270"/>
      <c r="Z4" s="1270"/>
      <c r="AA4" s="1270"/>
      <c r="AB4" s="1270"/>
      <c r="AC4" s="1270"/>
      <c r="AD4" s="1270"/>
      <c r="AE4" s="1270"/>
      <c r="AF4" s="1271"/>
      <c r="AG4" s="1269" t="e">
        <f>INDEX(PT_DIFFERENTIATION_CS,MATCH(C4,PT_DIFFERENTIATION_CS_ID,0))</f>
        <v>#N/A</v>
      </c>
      <c r="AH4" s="1270"/>
      <c r="AI4" s="1270"/>
      <c r="AJ4" s="1270"/>
      <c r="AK4" s="1270"/>
      <c r="AL4" s="1270"/>
      <c r="AM4" s="1270"/>
      <c r="AN4" s="1270"/>
      <c r="AO4" s="1270"/>
      <c r="AP4" s="1271"/>
      <c r="AQ4" s="729" t="s">
        <v>404</v>
      </c>
      <c r="AS4" s="69"/>
      <c r="AT4" s="69" t="str">
        <f t="shared" si="0"/>
        <v xml:space="preserve">Наименование системы теплоснабжения </v>
      </c>
      <c r="AU4" s="69"/>
      <c r="AV4" s="69"/>
      <c r="AW4" s="11">
        <v>0</v>
      </c>
    </row>
    <row r="5" spans="1:49" ht="21" hidden="1" customHeight="1">
      <c r="A5" s="731"/>
      <c r="B5" s="731"/>
      <c r="C5" s="731"/>
      <c r="D5" s="731"/>
      <c r="E5" s="1302"/>
      <c r="F5" s="1302"/>
      <c r="G5" s="1302"/>
      <c r="H5" s="1301">
        <v>1</v>
      </c>
      <c r="I5" s="731"/>
      <c r="J5" s="731"/>
      <c r="K5" s="731"/>
      <c r="L5" s="731"/>
      <c r="M5" s="754"/>
      <c r="N5" s="342"/>
      <c r="O5" s="342"/>
      <c r="P5" s="342"/>
      <c r="Q5" s="206"/>
      <c r="R5" s="204"/>
      <c r="S5" s="11"/>
      <c r="T5" s="205"/>
      <c r="U5" s="709" t="e">
        <f>INDEX(PT_DIFFERENTIATION_NUM_IST_TE,MATCH(D5,PT_DIFFERENTIATION_IST_TE_ID,0))</f>
        <v>#N/A</v>
      </c>
      <c r="V5" s="179" t="s">
        <v>405</v>
      </c>
      <c r="W5" s="171"/>
      <c r="X5" s="1269"/>
      <c r="Y5" s="1270"/>
      <c r="Z5" s="1270"/>
      <c r="AA5" s="1270"/>
      <c r="AB5" s="1270"/>
      <c r="AC5" s="1270"/>
      <c r="AD5" s="1270"/>
      <c r="AE5" s="1270"/>
      <c r="AF5" s="1271"/>
      <c r="AG5" s="1269" t="e">
        <f>INDEX(PT_DIFFERENTIATION_IST_TE,MATCH(D5,PT_DIFFERENTIATION_IST_TE_ID,0))</f>
        <v>#N/A</v>
      </c>
      <c r="AH5" s="1270"/>
      <c r="AI5" s="1270"/>
      <c r="AJ5" s="1270"/>
      <c r="AK5" s="1270"/>
      <c r="AL5" s="1270"/>
      <c r="AM5" s="1270"/>
      <c r="AN5" s="1270"/>
      <c r="AO5" s="1270"/>
      <c r="AP5" s="1271"/>
      <c r="AQ5" s="729" t="s">
        <v>406</v>
      </c>
      <c r="AS5" s="69"/>
      <c r="AT5" s="69" t="str">
        <f t="shared" si="0"/>
        <v xml:space="preserve">Источник тепловой энергии  </v>
      </c>
      <c r="AU5" s="69"/>
      <c r="AV5" s="69"/>
      <c r="AW5" s="11">
        <v>0</v>
      </c>
    </row>
    <row r="6" spans="1:49" ht="14.25" hidden="1" customHeight="1">
      <c r="A6" s="731"/>
      <c r="B6" s="731"/>
      <c r="C6" s="731"/>
      <c r="D6" s="731"/>
      <c r="E6" s="1302"/>
      <c r="F6" s="1302"/>
      <c r="G6" s="1302"/>
      <c r="H6" s="1302"/>
      <c r="I6" s="1148" t="e">
        <f>U5&amp;".1"</f>
        <v>#N/A</v>
      </c>
      <c r="J6" s="731"/>
      <c r="K6" s="731"/>
      <c r="L6" s="731"/>
      <c r="M6" s="754" t="s">
        <v>407</v>
      </c>
      <c r="N6" s="11"/>
      <c r="Q6" s="1279">
        <v>1</v>
      </c>
      <c r="R6" s="122"/>
      <c r="S6" s="122"/>
      <c r="T6" s="208"/>
      <c r="U6" s="362"/>
      <c r="V6" s="779"/>
      <c r="W6" s="780"/>
      <c r="X6" s="1306"/>
      <c r="Y6" s="1307"/>
      <c r="Z6" s="1307"/>
      <c r="AA6" s="1307"/>
      <c r="AB6" s="1307"/>
      <c r="AC6" s="1307"/>
      <c r="AD6" s="1307"/>
      <c r="AE6" s="1307"/>
      <c r="AF6" s="1308"/>
      <c r="AG6" s="1306"/>
      <c r="AH6" s="1307"/>
      <c r="AI6" s="1307"/>
      <c r="AJ6" s="1307"/>
      <c r="AK6" s="1307"/>
      <c r="AL6" s="1307"/>
      <c r="AM6" s="1307"/>
      <c r="AN6" s="1307"/>
      <c r="AO6" s="1307"/>
      <c r="AP6" s="1308"/>
      <c r="AQ6" s="781"/>
      <c r="AS6" s="69"/>
      <c r="AT6" s="69" t="str">
        <f t="shared" si="0"/>
        <v/>
      </c>
      <c r="AU6" s="69"/>
      <c r="AV6" s="69"/>
      <c r="AW6" s="11">
        <v>0</v>
      </c>
    </row>
    <row r="7" spans="1:49" ht="21" hidden="1" customHeight="1">
      <c r="A7" s="731"/>
      <c r="B7" s="731"/>
      <c r="C7" s="731"/>
      <c r="D7" s="731"/>
      <c r="E7" s="1302"/>
      <c r="F7" s="1302"/>
      <c r="G7" s="1302"/>
      <c r="H7" s="1302"/>
      <c r="I7" s="1129"/>
      <c r="J7" s="1148" t="e">
        <f>I6&amp;".1"</f>
        <v>#N/A</v>
      </c>
      <c r="K7" s="731"/>
      <c r="L7" s="731"/>
      <c r="M7" s="754" t="s">
        <v>410</v>
      </c>
      <c r="N7" s="11"/>
      <c r="O7" s="11"/>
      <c r="Q7" s="1279"/>
      <c r="R7" s="1279">
        <v>1</v>
      </c>
      <c r="S7" s="68"/>
      <c r="T7" s="209"/>
      <c r="U7" s="709" t="e">
        <f>$J7</f>
        <v>#N/A</v>
      </c>
      <c r="V7" s="165" t="s">
        <v>411</v>
      </c>
      <c r="W7" s="171"/>
      <c r="X7" s="1263"/>
      <c r="Y7" s="1264"/>
      <c r="Z7" s="1264"/>
      <c r="AA7" s="1264"/>
      <c r="AB7" s="1264"/>
      <c r="AC7" s="1259"/>
      <c r="AD7" s="1259"/>
      <c r="AE7" s="1259"/>
      <c r="AF7" s="1319"/>
      <c r="AG7" s="1263"/>
      <c r="AH7" s="1264"/>
      <c r="AI7" s="1264"/>
      <c r="AJ7" s="1264"/>
      <c r="AK7" s="1264"/>
      <c r="AL7" s="1264"/>
      <c r="AM7" s="1264"/>
      <c r="AN7" s="1264"/>
      <c r="AO7" s="1264"/>
      <c r="AP7" s="1265"/>
      <c r="AQ7" s="729" t="s">
        <v>412</v>
      </c>
      <c r="AS7" s="69"/>
      <c r="AT7" s="69" t="str">
        <f t="shared" si="0"/>
        <v>Группа потребителей</v>
      </c>
      <c r="AU7" s="69"/>
      <c r="AV7" s="69"/>
      <c r="AW7" s="11">
        <v>0</v>
      </c>
    </row>
    <row r="8" spans="1:49" ht="21" hidden="1" customHeight="1">
      <c r="A8" s="731"/>
      <c r="B8" s="731"/>
      <c r="C8" s="731"/>
      <c r="D8" s="731"/>
      <c r="E8" s="1302"/>
      <c r="F8" s="1302"/>
      <c r="G8" s="1302"/>
      <c r="H8" s="1302"/>
      <c r="I8" s="1129"/>
      <c r="J8" s="1129"/>
      <c r="K8" s="1148" t="e">
        <f>J7&amp;".1"</f>
        <v>#N/A</v>
      </c>
      <c r="L8" s="58"/>
      <c r="M8" s="754" t="s">
        <v>413</v>
      </c>
      <c r="N8" s="11"/>
      <c r="O8" s="11"/>
      <c r="P8" s="11"/>
      <c r="Q8" s="1279"/>
      <c r="R8" s="1279"/>
      <c r="S8" s="1279">
        <v>1</v>
      </c>
      <c r="T8" s="209"/>
      <c r="U8" s="709" t="e">
        <f>$K8</f>
        <v>#N/A</v>
      </c>
      <c r="V8" s="765"/>
      <c r="W8" s="171"/>
      <c r="X8" s="306"/>
      <c r="Y8" s="306"/>
      <c r="Z8" s="306"/>
      <c r="AA8" s="306"/>
      <c r="AB8" s="798"/>
      <c r="AC8" s="1280"/>
      <c r="AD8" s="1158" t="s">
        <v>66</v>
      </c>
      <c r="AE8" s="1280"/>
      <c r="AF8" s="1158" t="s">
        <v>66</v>
      </c>
      <c r="AG8" s="800"/>
      <c r="AH8" s="306"/>
      <c r="AI8" s="306"/>
      <c r="AJ8" s="306"/>
      <c r="AK8" s="728"/>
      <c r="AL8" s="1280"/>
      <c r="AM8" s="1158" t="s">
        <v>66</v>
      </c>
      <c r="AN8" s="1280"/>
      <c r="AO8" s="1158" t="s">
        <v>66</v>
      </c>
      <c r="AP8" s="191"/>
      <c r="AQ8" s="753" t="s">
        <v>456</v>
      </c>
      <c r="AR8" s="68" t="e">
        <f ca="1">STRCHECKDATE(X10:AP10)</f>
        <v>#NAME?</v>
      </c>
      <c r="AS8" s="69"/>
      <c r="AT8" s="69" t="str">
        <f t="shared" si="0"/>
        <v/>
      </c>
      <c r="AU8" s="69"/>
      <c r="AV8" s="69"/>
      <c r="AW8" s="11">
        <v>0</v>
      </c>
    </row>
    <row r="9" spans="1:49" ht="21" hidden="1" customHeight="1">
      <c r="A9" s="731"/>
      <c r="B9" s="731"/>
      <c r="C9" s="731"/>
      <c r="D9" s="731"/>
      <c r="E9" s="1302"/>
      <c r="F9" s="1302"/>
      <c r="G9" s="1302"/>
      <c r="H9" s="1302"/>
      <c r="I9" s="1129"/>
      <c r="J9" s="1129"/>
      <c r="K9" s="1129"/>
      <c r="L9" s="1148" t="e">
        <f>K8&amp;".1"</f>
        <v>#N/A</v>
      </c>
      <c r="M9" s="754"/>
      <c r="N9" s="11"/>
      <c r="O9" s="11"/>
      <c r="P9" s="11"/>
      <c r="Q9" s="1279"/>
      <c r="R9" s="1279"/>
      <c r="S9" s="1279"/>
      <c r="T9" s="209"/>
      <c r="U9" s="709" t="e">
        <f>$L9</f>
        <v>#N/A</v>
      </c>
      <c r="V9" s="787"/>
      <c r="W9" s="171"/>
      <c r="X9" s="191"/>
      <c r="Y9" s="306"/>
      <c r="Z9" s="306"/>
      <c r="AA9" s="306"/>
      <c r="AB9" s="798"/>
      <c r="AC9" s="1281"/>
      <c r="AD9" s="1158"/>
      <c r="AE9" s="1281"/>
      <c r="AF9" s="1158"/>
      <c r="AG9" s="800"/>
      <c r="AH9" s="306"/>
      <c r="AI9" s="306"/>
      <c r="AJ9" s="306"/>
      <c r="AK9" s="728"/>
      <c r="AL9" s="1281"/>
      <c r="AM9" s="1158"/>
      <c r="AN9" s="1281"/>
      <c r="AO9" s="1158"/>
      <c r="AP9" s="191"/>
      <c r="AQ9" s="1298" t="s">
        <v>457</v>
      </c>
      <c r="AS9" s="69"/>
      <c r="AT9" s="69"/>
      <c r="AU9" s="69"/>
      <c r="AV9" s="69"/>
      <c r="AW9" s="11">
        <v>0</v>
      </c>
    </row>
    <row r="10" spans="1:49" ht="14.25" hidden="1" customHeight="1">
      <c r="A10" s="731"/>
      <c r="B10" s="731"/>
      <c r="C10" s="731"/>
      <c r="D10" s="731"/>
      <c r="E10" s="1302"/>
      <c r="F10" s="1302"/>
      <c r="G10" s="1302"/>
      <c r="H10" s="1302"/>
      <c r="I10" s="1129"/>
      <c r="J10" s="1129"/>
      <c r="K10" s="1129"/>
      <c r="L10" s="1148"/>
      <c r="M10" s="754"/>
      <c r="N10" s="11"/>
      <c r="O10" s="11"/>
      <c r="P10" s="11"/>
      <c r="Q10" s="1279"/>
      <c r="R10" s="1279"/>
      <c r="S10" s="1279"/>
      <c r="T10" s="209"/>
      <c r="U10" s="65"/>
      <c r="V10" s="171"/>
      <c r="W10" s="171"/>
      <c r="X10" s="191"/>
      <c r="Y10" s="191"/>
      <c r="Z10" s="191"/>
      <c r="AA10" s="191"/>
      <c r="AB10" s="799" t="str">
        <f>AC8&amp;"-"&amp;AE8</f>
        <v>-</v>
      </c>
      <c r="AC10" s="1281"/>
      <c r="AD10" s="1158"/>
      <c r="AE10" s="1281"/>
      <c r="AF10" s="1158"/>
      <c r="AG10" s="778"/>
      <c r="AH10" s="191"/>
      <c r="AI10" s="191"/>
      <c r="AJ10" s="191"/>
      <c r="AK10" s="192" t="str">
        <f>AL8&amp;"-"&amp;AN8</f>
        <v>-</v>
      </c>
      <c r="AL10" s="1281"/>
      <c r="AM10" s="1158"/>
      <c r="AN10" s="1281"/>
      <c r="AO10" s="1158"/>
      <c r="AP10" s="191"/>
      <c r="AQ10" s="1299"/>
      <c r="AS10" s="69"/>
      <c r="AT10" s="69" t="str">
        <f>IF(V10="","",V10)</f>
        <v/>
      </c>
      <c r="AU10" s="69"/>
      <c r="AV10" s="69"/>
      <c r="AW10" s="11">
        <v>0</v>
      </c>
    </row>
    <row r="11" spans="1:49" ht="11.25" hidden="1" customHeight="1">
      <c r="A11" s="731"/>
      <c r="B11" s="731"/>
      <c r="C11" s="731"/>
      <c r="D11" s="731"/>
      <c r="E11" s="1302"/>
      <c r="F11" s="1302"/>
      <c r="G11" s="1302"/>
      <c r="H11" s="1302"/>
      <c r="I11" s="1129"/>
      <c r="J11" s="1129"/>
      <c r="K11" s="1148"/>
      <c r="L11" s="731"/>
      <c r="M11" s="754"/>
      <c r="N11" s="11"/>
      <c r="O11" s="11"/>
      <c r="P11" s="11"/>
      <c r="Q11" s="1279"/>
      <c r="R11" s="1279"/>
      <c r="S11" s="1279"/>
      <c r="T11" s="209"/>
      <c r="U11" s="742"/>
      <c r="V11" s="167" t="s">
        <v>458</v>
      </c>
      <c r="W11" s="788"/>
      <c r="X11" s="789"/>
      <c r="Y11" s="789"/>
      <c r="Z11" s="789"/>
      <c r="AA11" s="789"/>
      <c r="AB11" s="790"/>
      <c r="AC11" s="1281"/>
      <c r="AD11" s="1158"/>
      <c r="AE11" s="1281"/>
      <c r="AF11" s="1158"/>
      <c r="AG11" s="789"/>
      <c r="AH11" s="789"/>
      <c r="AI11" s="789"/>
      <c r="AJ11" s="789"/>
      <c r="AK11" s="790"/>
      <c r="AL11" s="1281"/>
      <c r="AM11" s="1158"/>
      <c r="AN11" s="1281"/>
      <c r="AO11" s="1158"/>
      <c r="AP11" s="791"/>
      <c r="AQ11" s="1299"/>
      <c r="AS11" s="69"/>
      <c r="AT11" s="69"/>
      <c r="AU11" s="69"/>
      <c r="AV11" s="69"/>
      <c r="AW11" s="11">
        <v>0</v>
      </c>
    </row>
    <row r="12" spans="1:49" ht="15" hidden="1" customHeight="1">
      <c r="A12" s="731"/>
      <c r="B12" s="731"/>
      <c r="C12" s="731"/>
      <c r="D12" s="731"/>
      <c r="E12" s="1302"/>
      <c r="F12" s="1302"/>
      <c r="G12" s="1302"/>
      <c r="H12" s="1302"/>
      <c r="I12" s="1129"/>
      <c r="J12" s="1148"/>
      <c r="K12" s="731"/>
      <c r="L12" s="731"/>
      <c r="M12" s="754"/>
      <c r="N12" s="11"/>
      <c r="O12" s="11"/>
      <c r="Q12" s="1279"/>
      <c r="R12" s="1279"/>
      <c r="S12" s="122"/>
      <c r="T12" s="208"/>
      <c r="U12" s="742"/>
      <c r="V12" s="166" t="s">
        <v>415</v>
      </c>
      <c r="W12" s="213"/>
      <c r="X12" s="213"/>
      <c r="Y12" s="213"/>
      <c r="Z12" s="213"/>
      <c r="AA12" s="213"/>
      <c r="AB12" s="213"/>
      <c r="AC12" s="801"/>
      <c r="AD12" s="801"/>
      <c r="AE12" s="801"/>
      <c r="AF12" s="801"/>
      <c r="AG12" s="213"/>
      <c r="AH12" s="213"/>
      <c r="AI12" s="213"/>
      <c r="AJ12" s="213"/>
      <c r="AK12" s="213"/>
      <c r="AL12" s="213"/>
      <c r="AM12" s="213"/>
      <c r="AN12" s="213"/>
      <c r="AO12" s="213"/>
      <c r="AP12" s="190"/>
      <c r="AQ12" s="1300"/>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02"/>
      <c r="F13" s="1302"/>
      <c r="G13" s="1302"/>
      <c r="H13" s="1302"/>
      <c r="I13" s="1148"/>
      <c r="J13" s="731"/>
      <c r="K13" s="731"/>
      <c r="L13" s="731"/>
      <c r="M13" s="754"/>
      <c r="N13" s="11"/>
      <c r="Q13" s="1279"/>
      <c r="R13" s="122"/>
      <c r="S13" s="122"/>
      <c r="T13" s="208"/>
      <c r="U13" s="742"/>
      <c r="V13" s="211" t="s">
        <v>416</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02"/>
      <c r="F14" s="1302"/>
      <c r="G14" s="1302"/>
      <c r="H14" s="1301"/>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02"/>
      <c r="F15" s="1302"/>
      <c r="G15" s="1301"/>
      <c r="H15" s="774"/>
      <c r="I15" s="774"/>
      <c r="J15" s="774"/>
      <c r="K15" s="774"/>
      <c r="L15" s="774"/>
      <c r="M15" s="775"/>
      <c r="N15" s="776"/>
      <c r="O15" s="776"/>
      <c r="P15" s="203"/>
      <c r="Q15" s="104"/>
      <c r="R15" s="755"/>
      <c r="S15" s="104"/>
      <c r="T15" s="104"/>
      <c r="U15" s="756"/>
      <c r="V15" s="757" t="s">
        <v>418</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02"/>
      <c r="F16" s="1301"/>
      <c r="G16" s="774"/>
      <c r="H16" s="774"/>
      <c r="I16" s="774"/>
      <c r="J16" s="774"/>
      <c r="K16" s="774"/>
      <c r="L16" s="774"/>
      <c r="M16" s="775"/>
      <c r="N16" s="777"/>
      <c r="O16" s="777"/>
      <c r="P16" s="203"/>
      <c r="Q16" s="104"/>
      <c r="R16" s="755"/>
      <c r="S16" s="104"/>
      <c r="T16" s="104"/>
      <c r="U16" s="760"/>
      <c r="V16" s="761" t="s">
        <v>419</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01"/>
      <c r="F17" s="774"/>
      <c r="G17" s="774"/>
      <c r="H17" s="774"/>
      <c r="I17" s="774"/>
      <c r="J17" s="774"/>
      <c r="K17" s="774"/>
      <c r="L17" s="774"/>
      <c r="M17" s="775"/>
      <c r="N17" s="777"/>
      <c r="O17" s="777"/>
      <c r="P17" s="203"/>
      <c r="Q17" s="104"/>
      <c r="R17" s="755"/>
      <c r="S17" s="104"/>
      <c r="T17" s="104"/>
      <c r="U17" s="760"/>
      <c r="V17" s="762" t="s">
        <v>420</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73"/>
      <c r="AM19" s="1272" t="s">
        <v>66</v>
      </c>
      <c r="AN19" s="1273"/>
      <c r="AO19" s="1272" t="s">
        <v>66</v>
      </c>
      <c r="AW19" s="11">
        <v>0</v>
      </c>
    </row>
    <row r="20" spans="1:49" ht="14.25" hidden="1" customHeight="1">
      <c r="AG20" s="368"/>
      <c r="AH20" s="368"/>
      <c r="AI20" s="368"/>
      <c r="AJ20" s="368"/>
      <c r="AK20" s="768"/>
      <c r="AL20" s="1273"/>
      <c r="AM20" s="1272"/>
      <c r="AN20" s="1273"/>
      <c r="AO20" s="1272"/>
      <c r="AW20" s="11">
        <v>0</v>
      </c>
    </row>
    <row r="21" spans="1:49" ht="14.25" hidden="1" customHeight="1">
      <c r="AG21" s="368"/>
      <c r="AH21" s="368"/>
      <c r="AI21" s="368"/>
      <c r="AJ21" s="368"/>
      <c r="AK21" s="768"/>
      <c r="AL21" s="1273"/>
      <c r="AM21" s="1272"/>
      <c r="AN21" s="1273"/>
      <c r="AO21" s="1272"/>
      <c r="AW21" s="11">
        <v>0</v>
      </c>
    </row>
    <row r="22" spans="1:49" ht="14.25" hidden="1" customHeight="1">
      <c r="AG22" s="368"/>
      <c r="AH22" s="368"/>
      <c r="AI22" s="368"/>
      <c r="AJ22" s="368"/>
      <c r="AK22" s="192" t="str">
        <f>AL19&amp;"-"&amp;AN19</f>
        <v>-</v>
      </c>
      <c r="AL22" s="1272"/>
      <c r="AM22" s="1272"/>
      <c r="AN22" s="1272"/>
      <c r="AO22" s="1272"/>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421</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422</v>
      </c>
      <c r="Q26" s="506"/>
      <c r="R26" s="772"/>
      <c r="S26" s="772"/>
      <c r="T26" s="772"/>
      <c r="U26" s="426"/>
      <c r="V26" s="63" t="s">
        <v>423</v>
      </c>
      <c r="AD26" s="82" t="s">
        <v>424</v>
      </c>
      <c r="AF26" s="82" t="s">
        <v>425</v>
      </c>
      <c r="AG26" s="63" t="s">
        <v>423</v>
      </c>
      <c r="AM26" s="82" t="s">
        <v>426</v>
      </c>
      <c r="AO26" s="82" t="s">
        <v>425</v>
      </c>
      <c r="AR26" s="68"/>
      <c r="AS26" s="68"/>
      <c r="AT26" s="68"/>
      <c r="AU26" s="68"/>
      <c r="AV26" s="68"/>
      <c r="AW26" s="63">
        <v>0</v>
      </c>
    </row>
    <row r="27" spans="1:49" ht="14.25" hidden="1" customHeight="1">
      <c r="P27" s="754"/>
      <c r="AW27" s="11">
        <v>0</v>
      </c>
    </row>
    <row r="28" spans="1:49" ht="14.25" hidden="1" customHeight="1">
      <c r="P28" s="754"/>
      <c r="AW28" s="11">
        <v>0</v>
      </c>
    </row>
    <row r="29" spans="1:49" ht="14.65" customHeight="1">
      <c r="R29" s="28"/>
      <c r="S29" s="28"/>
      <c r="T29" s="28"/>
      <c r="U29" s="739"/>
      <c r="V29" s="10"/>
      <c r="W29" s="10"/>
      <c r="AW29" s="11">
        <v>14</v>
      </c>
    </row>
    <row r="30" spans="1:49" ht="56.65" customHeight="1">
      <c r="R30" s="28"/>
      <c r="S30" s="28"/>
      <c r="T30" s="28"/>
      <c r="U30" s="125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56"/>
      <c r="W30" s="1256"/>
      <c r="X30" s="1256"/>
      <c r="Y30" s="1256"/>
      <c r="Z30" s="1256"/>
      <c r="AA30" s="1256"/>
      <c r="AB30" s="1256"/>
      <c r="AC30" s="1256"/>
      <c r="AD30" s="1256"/>
      <c r="AE30" s="1256"/>
      <c r="AF30" s="1256"/>
      <c r="AG30" s="1256"/>
      <c r="AH30" s="1256"/>
      <c r="AI30" s="1256"/>
      <c r="AJ30" s="1256"/>
      <c r="AK30" s="1256"/>
      <c r="AL30" s="1256"/>
      <c r="AM30" s="1256"/>
      <c r="AN30" s="1256"/>
      <c r="AO30" s="59"/>
      <c r="AW30" s="11">
        <v>54</v>
      </c>
    </row>
    <row r="31" spans="1:49" ht="14.65" customHeight="1">
      <c r="R31" s="28"/>
      <c r="S31" s="28"/>
      <c r="T31" s="28"/>
      <c r="U31" s="1229" t="str">
        <f>IF(org=0,"Не определено",org)</f>
        <v>ООО "Инженерные сети"</v>
      </c>
      <c r="V31" s="1229"/>
      <c r="W31" s="1229"/>
      <c r="X31" s="1229"/>
      <c r="Y31" s="1229"/>
      <c r="Z31" s="1229"/>
      <c r="AA31" s="1229"/>
      <c r="AB31" s="1229"/>
      <c r="AC31" s="1229"/>
      <c r="AD31" s="1229"/>
      <c r="AE31" s="1229"/>
      <c r="AF31" s="1229"/>
      <c r="AG31" s="1229"/>
      <c r="AH31" s="1229"/>
      <c r="AI31" s="1229"/>
      <c r="AJ31" s="1229"/>
      <c r="AK31" s="1229"/>
      <c r="AL31" s="1229"/>
      <c r="AM31" s="1229"/>
      <c r="AN31" s="1229"/>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66" t="s">
        <v>42</v>
      </c>
      <c r="V33" s="1266"/>
      <c r="W33" s="773"/>
      <c r="X33" s="1268" t="str">
        <f>IF(TITLE_NAME_OR_PR_CHANGE="",IF(TITLE_NAME_OR_PR="","",TITLE_NAME_OR_PR),TITLE_NAME_OR_PR_CHANGE)</f>
        <v/>
      </c>
      <c r="Y33" s="1268"/>
      <c r="Z33" s="1268"/>
      <c r="AA33" s="1268"/>
      <c r="AB33" s="1268"/>
      <c r="AC33" s="1268"/>
      <c r="AD33" s="1268"/>
      <c r="AE33" s="1268"/>
      <c r="AF33" s="11"/>
      <c r="AG33" s="1268" t="str">
        <f>IF(TITLE_NAME_OR_PR_CHANGE="",IF(TITLE_NAME_OR_PR="","",TITLE_NAME_OR_PR),TITLE_NAME_OR_PR_CHANGE)</f>
        <v/>
      </c>
      <c r="AH33" s="1268"/>
      <c r="AI33" s="1268"/>
      <c r="AJ33" s="1268"/>
      <c r="AK33" s="1268"/>
      <c r="AL33" s="1268"/>
      <c r="AM33" s="1268"/>
      <c r="AN33" s="1268"/>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66" t="s">
        <v>427</v>
      </c>
      <c r="V34" s="1266"/>
      <c r="W34" s="773"/>
      <c r="X34" s="1267" t="str">
        <f>IF(TITLE_DATE_PR_CHANGE="",IF(TITLE_DATE_PR="","",TITLE_DATE_PR),TITLE_DATE_PR_CHANGE)</f>
        <v/>
      </c>
      <c r="Y34" s="1267"/>
      <c r="Z34" s="1267"/>
      <c r="AA34" s="1267"/>
      <c r="AB34" s="1267"/>
      <c r="AC34" s="1267"/>
      <c r="AD34" s="1267"/>
      <c r="AE34" s="1267"/>
      <c r="AF34" s="11"/>
      <c r="AG34" s="1267" t="str">
        <f>IF(TITLE_DATE_PR_CHANGE="",IF(TITLE_DATE_PR="","",TITLE_DATE_PR),TITLE_DATE_PR_CHANGE)</f>
        <v/>
      </c>
      <c r="AH34" s="1267"/>
      <c r="AI34" s="1267"/>
      <c r="AJ34" s="1267"/>
      <c r="AK34" s="1267"/>
      <c r="AL34" s="1267"/>
      <c r="AM34" s="1267"/>
      <c r="AN34" s="1267"/>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66" t="s">
        <v>428</v>
      </c>
      <c r="V35" s="1266"/>
      <c r="W35" s="773"/>
      <c r="X35" s="1268" t="str">
        <f>IF(TITLE_NUMBER_PR_CHANGE="",IF(TITLE_NUMBER_PR="","",TITLE_NUMBER_PR),TITLE_NUMBER_PR_CHANGE)</f>
        <v/>
      </c>
      <c r="Y35" s="1268"/>
      <c r="Z35" s="1268"/>
      <c r="AA35" s="1268"/>
      <c r="AB35" s="1268"/>
      <c r="AC35" s="1268"/>
      <c r="AD35" s="1268"/>
      <c r="AE35" s="1268"/>
      <c r="AF35" s="11"/>
      <c r="AG35" s="1268" t="str">
        <f>IF(TITLE_NUMBER_PR_CHANGE="",IF(TITLE_NUMBER_PR="","",TITLE_NUMBER_PR),TITLE_NUMBER_PR_CHANGE)</f>
        <v/>
      </c>
      <c r="AH35" s="1268"/>
      <c r="AI35" s="1268"/>
      <c r="AJ35" s="1268"/>
      <c r="AK35" s="1268"/>
      <c r="AL35" s="1268"/>
      <c r="AM35" s="1268"/>
      <c r="AN35" s="1268"/>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66" t="s">
        <v>43</v>
      </c>
      <c r="V36" s="1266"/>
      <c r="W36" s="773"/>
      <c r="X36" s="1268" t="str">
        <f>IF(TITLE_IST_PUB_CHANGE="",IF(TITLE_IST_PUB="","",TITLE_IST_PUB),TITLE_IST_PUB_CHANGE)</f>
        <v/>
      </c>
      <c r="Y36" s="1268"/>
      <c r="Z36" s="1268"/>
      <c r="AA36" s="1268"/>
      <c r="AB36" s="1268"/>
      <c r="AC36" s="1268"/>
      <c r="AD36" s="1268"/>
      <c r="AE36" s="1268"/>
      <c r="AF36" s="11"/>
      <c r="AG36" s="1268" t="str">
        <f>IF(TITLE_IST_PUB_CHANGE="",IF(TITLE_IST_PUB="","",TITLE_IST_PUB),TITLE_IST_PUB_CHANGE)</f>
        <v/>
      </c>
      <c r="AH36" s="1268"/>
      <c r="AI36" s="1268"/>
      <c r="AJ36" s="1268"/>
      <c r="AK36" s="1268"/>
      <c r="AL36" s="1268"/>
      <c r="AM36" s="1268"/>
      <c r="AN36" s="1268"/>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66" t="s">
        <v>429</v>
      </c>
      <c r="V38" s="1266"/>
      <c r="W38" s="773"/>
      <c r="X38" s="1267" t="str">
        <f>IF(TITLE_DATE_PR_CHANGE="",IF(TITLE_DATE_PR="","",TITLE_DATE_PR),TITLE_DATE_PR_CHANGE)</f>
        <v/>
      </c>
      <c r="Y38" s="1267"/>
      <c r="Z38" s="1267"/>
      <c r="AA38" s="1267"/>
      <c r="AB38" s="1267"/>
      <c r="AC38" s="1267"/>
      <c r="AD38" s="1267"/>
      <c r="AE38" s="1267"/>
      <c r="AF38" s="11"/>
      <c r="AG38" s="1267" t="str">
        <f>IF(TITLE_DATE_PR_CHANGE="",IF(TITLE_DATE_PR="","",TITLE_DATE_PR),TITLE_DATE_PR_CHANGE)</f>
        <v/>
      </c>
      <c r="AH38" s="1267"/>
      <c r="AI38" s="1267"/>
      <c r="AJ38" s="1267"/>
      <c r="AK38" s="1267"/>
      <c r="AL38" s="1267"/>
      <c r="AM38" s="1267"/>
      <c r="AN38" s="1267"/>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66" t="s">
        <v>430</v>
      </c>
      <c r="V39" s="1266"/>
      <c r="W39" s="773"/>
      <c r="X39" s="1268" t="str">
        <f>IF(TITLE_NUMBER_PR_CHANGE="",IF(TITLE_NUMBER_PR="","",TITLE_NUMBER_PR),TITLE_NUMBER_PR_CHANGE)</f>
        <v/>
      </c>
      <c r="Y39" s="1268"/>
      <c r="Z39" s="1268"/>
      <c r="AA39" s="1268"/>
      <c r="AB39" s="1268"/>
      <c r="AC39" s="1268"/>
      <c r="AD39" s="1268"/>
      <c r="AE39" s="1268"/>
      <c r="AF39" s="11"/>
      <c r="AG39" s="1268" t="str">
        <f>IF(TITLE_NUMBER_PR_CHANGE="",IF(TITLE_NUMBER_PR="","",TITLE_NUMBER_PR),TITLE_NUMBER_PR_CHANGE)</f>
        <v/>
      </c>
      <c r="AH39" s="1268"/>
      <c r="AI39" s="1268"/>
      <c r="AJ39" s="1268"/>
      <c r="AK39" s="1268"/>
      <c r="AL39" s="1268"/>
      <c r="AM39" s="1268"/>
      <c r="AN39" s="1268"/>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431</v>
      </c>
      <c r="AG40" s="11"/>
      <c r="AH40" s="11"/>
      <c r="AI40" s="11"/>
      <c r="AJ40" s="11"/>
      <c r="AK40" s="11"/>
      <c r="AL40" s="11"/>
      <c r="AM40" s="11"/>
      <c r="AN40" s="11"/>
      <c r="AO40" s="68" t="s">
        <v>431</v>
      </c>
      <c r="AR40" s="69"/>
      <c r="AS40" s="69"/>
      <c r="AT40" s="69"/>
      <c r="AU40" s="69"/>
      <c r="AV40" s="69"/>
      <c r="AW40" s="35">
        <v>0</v>
      </c>
    </row>
    <row r="41" spans="1:49" ht="14.65" customHeight="1">
      <c r="R41" s="28"/>
      <c r="S41" s="28"/>
      <c r="T41" s="28"/>
      <c r="U41" s="739"/>
      <c r="V41" s="10"/>
      <c r="W41" s="720"/>
      <c r="X41" s="1287"/>
      <c r="Y41" s="1287"/>
      <c r="Z41" s="1287"/>
      <c r="AA41" s="1287"/>
      <c r="AB41" s="1287"/>
      <c r="AC41" s="1287"/>
      <c r="AD41" s="1287"/>
      <c r="AE41" s="1287"/>
      <c r="AF41" s="1287"/>
      <c r="AG41" s="1287"/>
      <c r="AH41" s="1287"/>
      <c r="AI41" s="1287"/>
      <c r="AJ41" s="1287"/>
      <c r="AK41" s="1287"/>
      <c r="AL41" s="1287"/>
      <c r="AM41" s="1287"/>
      <c r="AN41" s="1287"/>
      <c r="AO41" s="1287"/>
      <c r="AW41" s="11">
        <v>14</v>
      </c>
    </row>
    <row r="42" spans="1:49" ht="14.65" customHeight="1">
      <c r="R42" s="28"/>
      <c r="S42" s="28"/>
      <c r="T42" s="28"/>
      <c r="U42" s="1148" t="s">
        <v>304</v>
      </c>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t="s">
        <v>305</v>
      </c>
      <c r="AW42" s="11">
        <v>14</v>
      </c>
    </row>
    <row r="43" spans="1:49" ht="14.65" customHeight="1">
      <c r="R43" s="28"/>
      <c r="S43" s="28"/>
      <c r="T43" s="28"/>
      <c r="U43" s="1288" t="s">
        <v>88</v>
      </c>
      <c r="V43" s="1237" t="s">
        <v>432</v>
      </c>
      <c r="W43" s="172"/>
      <c r="X43" s="1289" t="s">
        <v>433</v>
      </c>
      <c r="Y43" s="1305"/>
      <c r="Z43" s="1305"/>
      <c r="AA43" s="1305"/>
      <c r="AB43" s="1305"/>
      <c r="AC43" s="1290"/>
      <c r="AD43" s="1290"/>
      <c r="AE43" s="1291"/>
      <c r="AF43" s="1292" t="s">
        <v>434</v>
      </c>
      <c r="AG43" s="1289" t="s">
        <v>433</v>
      </c>
      <c r="AH43" s="1305"/>
      <c r="AI43" s="1305"/>
      <c r="AJ43" s="1305"/>
      <c r="AK43" s="1305"/>
      <c r="AL43" s="1290"/>
      <c r="AM43" s="1290"/>
      <c r="AN43" s="1291"/>
      <c r="AO43" s="1292" t="s">
        <v>435</v>
      </c>
      <c r="AP43" s="1295" t="s">
        <v>436</v>
      </c>
      <c r="AQ43" s="1148"/>
      <c r="AW43" s="11">
        <v>14</v>
      </c>
    </row>
    <row r="44" spans="1:49" ht="35.65" customHeight="1">
      <c r="R44" s="28"/>
      <c r="S44" s="28"/>
      <c r="T44" s="28"/>
      <c r="U44" s="1288"/>
      <c r="V44" s="1237"/>
      <c r="W44" s="607"/>
      <c r="X44" s="1208" t="s">
        <v>459</v>
      </c>
      <c r="Y44" s="1148" t="s">
        <v>460</v>
      </c>
      <c r="Z44" s="1148"/>
      <c r="AA44" s="1148"/>
      <c r="AB44" s="1148"/>
      <c r="AC44" s="1208" t="s">
        <v>440</v>
      </c>
      <c r="AD44" s="1317"/>
      <c r="AE44" s="1209"/>
      <c r="AF44" s="1293"/>
      <c r="AG44" s="1208" t="s">
        <v>459</v>
      </c>
      <c r="AH44" s="1148" t="s">
        <v>460</v>
      </c>
      <c r="AI44" s="1148"/>
      <c r="AJ44" s="1148"/>
      <c r="AK44" s="1148"/>
      <c r="AL44" s="1208" t="s">
        <v>440</v>
      </c>
      <c r="AM44" s="1317"/>
      <c r="AN44" s="1209"/>
      <c r="AO44" s="1293"/>
      <c r="AP44" s="1296"/>
      <c r="AQ44" s="1148"/>
      <c r="AW44" s="11">
        <v>34</v>
      </c>
    </row>
    <row r="45" spans="1:49" ht="14.65" customHeight="1">
      <c r="R45" s="28"/>
      <c r="S45" s="28"/>
      <c r="T45" s="28"/>
      <c r="U45" s="1288"/>
      <c r="V45" s="1237"/>
      <c r="W45" s="607"/>
      <c r="X45" s="1210"/>
      <c r="Y45" s="1243" t="s">
        <v>461</v>
      </c>
      <c r="Z45" s="1242" t="s">
        <v>462</v>
      </c>
      <c r="AA45" s="1254"/>
      <c r="AB45" s="1255"/>
      <c r="AC45" s="1213"/>
      <c r="AD45" s="1318"/>
      <c r="AE45" s="1214"/>
      <c r="AF45" s="1293"/>
      <c r="AG45" s="1210"/>
      <c r="AH45" s="1243" t="s">
        <v>461</v>
      </c>
      <c r="AI45" s="1242" t="s">
        <v>462</v>
      </c>
      <c r="AJ45" s="1254"/>
      <c r="AK45" s="1255"/>
      <c r="AL45" s="1213"/>
      <c r="AM45" s="1318"/>
      <c r="AN45" s="1214"/>
      <c r="AO45" s="1293"/>
      <c r="AP45" s="1296"/>
      <c r="AQ45" s="1148"/>
      <c r="AW45" s="11">
        <v>14</v>
      </c>
    </row>
    <row r="46" spans="1:49" ht="27.4" customHeight="1">
      <c r="R46" s="28"/>
      <c r="S46" s="28"/>
      <c r="T46" s="28"/>
      <c r="U46" s="1288"/>
      <c r="V46" s="1237"/>
      <c r="W46" s="607"/>
      <c r="X46" s="1210"/>
      <c r="Y46" s="1316"/>
      <c r="Z46" s="1243" t="s">
        <v>463</v>
      </c>
      <c r="AA46" s="1242" t="s">
        <v>464</v>
      </c>
      <c r="AB46" s="1255"/>
      <c r="AC46" s="1243" t="s">
        <v>450</v>
      </c>
      <c r="AD46" s="1247" t="s">
        <v>451</v>
      </c>
      <c r="AE46" s="1245"/>
      <c r="AF46" s="1293"/>
      <c r="AG46" s="1210"/>
      <c r="AH46" s="1316"/>
      <c r="AI46" s="1243" t="s">
        <v>463</v>
      </c>
      <c r="AJ46" s="1242" t="s">
        <v>464</v>
      </c>
      <c r="AK46" s="1255"/>
      <c r="AL46" s="1243" t="s">
        <v>450</v>
      </c>
      <c r="AM46" s="1247" t="s">
        <v>451</v>
      </c>
      <c r="AN46" s="1245"/>
      <c r="AO46" s="1293"/>
      <c r="AP46" s="1296"/>
      <c r="AQ46" s="1148"/>
      <c r="AW46" s="11">
        <v>26</v>
      </c>
    </row>
    <row r="47" spans="1:49" ht="65.25" customHeight="1">
      <c r="A47" s="17"/>
      <c r="B47" s="17" t="s">
        <v>141</v>
      </c>
      <c r="C47" s="17" t="s">
        <v>142</v>
      </c>
      <c r="D47" s="17" t="s">
        <v>143</v>
      </c>
      <c r="E47" s="754" t="s">
        <v>441</v>
      </c>
      <c r="F47" s="754" t="s">
        <v>442</v>
      </c>
      <c r="G47" s="754" t="s">
        <v>443</v>
      </c>
      <c r="H47" s="754" t="s">
        <v>444</v>
      </c>
      <c r="I47" s="754" t="s">
        <v>445</v>
      </c>
      <c r="J47" s="754" t="s">
        <v>446</v>
      </c>
      <c r="K47" s="754" t="s">
        <v>447</v>
      </c>
      <c r="L47" s="754" t="s">
        <v>465</v>
      </c>
      <c r="M47" s="754" t="s">
        <v>422</v>
      </c>
      <c r="R47" s="28"/>
      <c r="S47" s="28"/>
      <c r="T47" s="28"/>
      <c r="U47" s="1288"/>
      <c r="V47" s="1237"/>
      <c r="W47" s="173"/>
      <c r="X47" s="1213"/>
      <c r="Y47" s="1244"/>
      <c r="Z47" s="1244"/>
      <c r="AA47" s="39" t="s">
        <v>466</v>
      </c>
      <c r="AB47" s="39" t="s">
        <v>467</v>
      </c>
      <c r="AC47" s="1244"/>
      <c r="AD47" s="1248"/>
      <c r="AE47" s="1246"/>
      <c r="AF47" s="1294"/>
      <c r="AG47" s="1213"/>
      <c r="AH47" s="1244"/>
      <c r="AI47" s="1244"/>
      <c r="AJ47" s="39" t="s">
        <v>466</v>
      </c>
      <c r="AK47" s="39" t="s">
        <v>467</v>
      </c>
      <c r="AL47" s="1244"/>
      <c r="AM47" s="1248"/>
      <c r="AN47" s="1246"/>
      <c r="AO47" s="1294"/>
      <c r="AP47" s="1297"/>
      <c r="AQ47" s="1148"/>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115</v>
      </c>
      <c r="V48" s="726" t="s">
        <v>103</v>
      </c>
      <c r="W48" s="721" t="str">
        <f ca="1">OFFSET(W48,0,-1)</f>
        <v>2</v>
      </c>
      <c r="X48" s="727">
        <f ca="1">OFFSET(X48,0,-1)+1</f>
        <v>3</v>
      </c>
      <c r="Y48" s="286"/>
      <c r="Z48" s="286"/>
      <c r="AA48" s="286">
        <f ca="1">OFFSET(AA48,0,-1)+1</f>
        <v>1</v>
      </c>
      <c r="AB48" s="286">
        <f ca="1">OFFSET(AB48,0,-1)+1</f>
        <v>2</v>
      </c>
      <c r="AC48" s="727">
        <f ca="1">OFFSET(AC48,0,-1)+1</f>
        <v>3</v>
      </c>
      <c r="AD48" s="1286">
        <f ca="1">OFFSET(AD48,0,-1)+1</f>
        <v>4</v>
      </c>
      <c r="AE48" s="1286"/>
      <c r="AF48" s="727">
        <f ca="1">OFFSET(AF48,0,-2)+1</f>
        <v>5</v>
      </c>
      <c r="AG48" s="727">
        <f ca="1">OFFSET(AG48,0,-1)+1</f>
        <v>6</v>
      </c>
      <c r="AH48" s="727"/>
      <c r="AI48" s="727"/>
      <c r="AJ48" s="727">
        <f ca="1">OFFSET(AJ48,0,-1)+1</f>
        <v>1</v>
      </c>
      <c r="AK48" s="727">
        <f ca="1">OFFSET(AK48,0,-1)+1</f>
        <v>2</v>
      </c>
      <c r="AL48" s="727">
        <f ca="1">OFFSET(AL48,0,-1)+1</f>
        <v>3</v>
      </c>
      <c r="AM48" s="1286">
        <f ca="1">OFFSET(AM48,0,-1)+1</f>
        <v>4</v>
      </c>
      <c r="AN48" s="1286"/>
      <c r="AO48" s="727">
        <f ca="1">OFFSET(AO48,0,-2)+1</f>
        <v>5</v>
      </c>
      <c r="AP48" s="721">
        <f ca="1">OFFSET(AP48,0,-1)</f>
        <v>5</v>
      </c>
      <c r="AQ48" s="727">
        <f ca="1">OFFSET(AQ48,0,-1)+1</f>
        <v>6</v>
      </c>
      <c r="AR48" s="68"/>
      <c r="AS48" s="68"/>
      <c r="AT48" s="68"/>
      <c r="AU48" s="68"/>
      <c r="AV48" s="68"/>
      <c r="AW48" s="203">
        <v>0</v>
      </c>
    </row>
    <row r="49" spans="1:49" ht="21.95" customHeight="1">
      <c r="A49" s="731" t="s">
        <v>180</v>
      </c>
      <c r="B49" s="731"/>
      <c r="C49" s="731"/>
      <c r="D49" s="731"/>
      <c r="E49" s="1301">
        <v>1</v>
      </c>
      <c r="F49" s="731"/>
      <c r="G49" s="731"/>
      <c r="H49" s="731"/>
      <c r="I49" s="731"/>
      <c r="J49" s="731"/>
      <c r="K49" s="731"/>
      <c r="L49" s="731"/>
      <c r="M49" s="754"/>
      <c r="N49" s="342"/>
      <c r="O49" s="342"/>
      <c r="P49" s="342"/>
      <c r="R49" s="34"/>
      <c r="S49" s="34"/>
      <c r="T49" s="207"/>
      <c r="U49" s="709">
        <f>INDEX(PT_DIFFERENTIATION_NUM_NTAR,MATCH(A49,PT_DIFFERENTIATION_NTAR_ID,0))</f>
        <v>0</v>
      </c>
      <c r="V49" s="67" t="s">
        <v>129</v>
      </c>
      <c r="W49" s="171"/>
      <c r="X49" s="1269"/>
      <c r="Y49" s="1270"/>
      <c r="Z49" s="1270"/>
      <c r="AA49" s="1270"/>
      <c r="AB49" s="1270"/>
      <c r="AC49" s="1270"/>
      <c r="AD49" s="1270"/>
      <c r="AE49" s="1270"/>
      <c r="AF49" s="1271"/>
      <c r="AG49" s="1269" t="str">
        <f>INDEX(PT_DIFFERENTIATION_NTAR,MATCH(A49,PT_DIFFERENTIATION_NTAR_ID,0))</f>
        <v/>
      </c>
      <c r="AH49" s="1270"/>
      <c r="AI49" s="1270"/>
      <c r="AJ49" s="1270"/>
      <c r="AK49" s="1270"/>
      <c r="AL49" s="1270"/>
      <c r="AM49" s="1270"/>
      <c r="AN49" s="1270"/>
      <c r="AO49" s="1270"/>
      <c r="AP49" s="1271"/>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1.95" customHeight="1">
      <c r="A50" s="731" t="s">
        <v>180</v>
      </c>
      <c r="B50" s="731" t="s">
        <v>181</v>
      </c>
      <c r="C50" s="731"/>
      <c r="D50" s="731"/>
      <c r="E50" s="1302"/>
      <c r="F50" s="1301">
        <v>1</v>
      </c>
      <c r="G50" s="731"/>
      <c r="H50" s="731"/>
      <c r="I50" s="731"/>
      <c r="J50" s="731"/>
      <c r="K50" s="731"/>
      <c r="L50" s="731"/>
      <c r="M50" s="754"/>
      <c r="N50" s="342"/>
      <c r="O50" s="342"/>
      <c r="P50" s="342"/>
      <c r="Q50" s="58"/>
      <c r="R50" s="204"/>
      <c r="S50" s="11"/>
      <c r="T50" s="205"/>
      <c r="U50" s="709" t="str">
        <f>INDEX(PT_DIFFERENTIATION_NUM_TER,MATCH(B50,PT_DIFFERENTIATION_TER_ID,0))</f>
        <v>.</v>
      </c>
      <c r="V50" s="177" t="s">
        <v>401</v>
      </c>
      <c r="W50" s="171"/>
      <c r="X50" s="1269"/>
      <c r="Y50" s="1270"/>
      <c r="Z50" s="1270"/>
      <c r="AA50" s="1270"/>
      <c r="AB50" s="1270"/>
      <c r="AC50" s="1270"/>
      <c r="AD50" s="1270"/>
      <c r="AE50" s="1270"/>
      <c r="AF50" s="1271"/>
      <c r="AG50" s="1269" t="str">
        <f>INDEX(PT_DIFFERENTIATION_TER,MATCH(B50,PT_DIFFERENTIATION_TER_ID,0))</f>
        <v/>
      </c>
      <c r="AH50" s="1270"/>
      <c r="AI50" s="1270"/>
      <c r="AJ50" s="1270"/>
      <c r="AK50" s="1270"/>
      <c r="AL50" s="1270"/>
      <c r="AM50" s="1270"/>
      <c r="AN50" s="1270"/>
      <c r="AO50" s="1270"/>
      <c r="AP50" s="1271"/>
      <c r="AQ50" s="729" t="s">
        <v>402</v>
      </c>
      <c r="AS50" s="69"/>
      <c r="AT50" s="69" t="str">
        <f t="shared" si="2"/>
        <v>Территория действия тарифа</v>
      </c>
      <c r="AU50" s="69"/>
      <c r="AV50" s="69"/>
      <c r="AW50" s="11">
        <v>21</v>
      </c>
    </row>
    <row r="51" spans="1:49" ht="24" customHeight="1">
      <c r="A51" s="731" t="s">
        <v>180</v>
      </c>
      <c r="B51" s="731" t="s">
        <v>181</v>
      </c>
      <c r="C51" s="731" t="s">
        <v>182</v>
      </c>
      <c r="D51" s="731"/>
      <c r="E51" s="1302"/>
      <c r="F51" s="1302"/>
      <c r="G51" s="1301">
        <v>1</v>
      </c>
      <c r="H51" s="731"/>
      <c r="I51" s="731"/>
      <c r="J51" s="731"/>
      <c r="K51" s="731"/>
      <c r="L51" s="731"/>
      <c r="M51" s="754"/>
      <c r="N51" s="342"/>
      <c r="O51" s="342"/>
      <c r="P51" s="342"/>
      <c r="Q51" s="206"/>
      <c r="R51" s="204"/>
      <c r="S51" s="11"/>
      <c r="T51" s="205"/>
      <c r="U51" s="709" t="str">
        <f>INDEX(PT_DIFFERENTIATION_NUM_CS,MATCH(C51,PT_DIFFERENTIATION_CS_ID,0))</f>
        <v>..</v>
      </c>
      <c r="V51" s="178" t="s">
        <v>403</v>
      </c>
      <c r="W51" s="171"/>
      <c r="X51" s="1269"/>
      <c r="Y51" s="1270"/>
      <c r="Z51" s="1270"/>
      <c r="AA51" s="1270"/>
      <c r="AB51" s="1270"/>
      <c r="AC51" s="1270"/>
      <c r="AD51" s="1270"/>
      <c r="AE51" s="1270"/>
      <c r="AF51" s="1271"/>
      <c r="AG51" s="1269" t="str">
        <f>INDEX(PT_DIFFERENTIATION_CS,MATCH(C51,PT_DIFFERENTIATION_CS_ID,0))</f>
        <v/>
      </c>
      <c r="AH51" s="1270"/>
      <c r="AI51" s="1270"/>
      <c r="AJ51" s="1270"/>
      <c r="AK51" s="1270"/>
      <c r="AL51" s="1270"/>
      <c r="AM51" s="1270"/>
      <c r="AN51" s="1270"/>
      <c r="AO51" s="1270"/>
      <c r="AP51" s="1271"/>
      <c r="AQ51" s="729" t="s">
        <v>404</v>
      </c>
      <c r="AS51" s="69"/>
      <c r="AT51" s="69" t="str">
        <f t="shared" si="2"/>
        <v xml:space="preserve">Наименование системы теплоснабжения </v>
      </c>
      <c r="AU51" s="69"/>
      <c r="AV51" s="69"/>
      <c r="AW51" s="11">
        <v>23</v>
      </c>
    </row>
    <row r="52" spans="1:49" ht="21.95" customHeight="1">
      <c r="A52" s="731" t="s">
        <v>180</v>
      </c>
      <c r="B52" s="731" t="s">
        <v>181</v>
      </c>
      <c r="C52" s="731" t="s">
        <v>182</v>
      </c>
      <c r="D52" s="731" t="s">
        <v>183</v>
      </c>
      <c r="E52" s="1302"/>
      <c r="F52" s="1302"/>
      <c r="G52" s="1302"/>
      <c r="H52" s="1301">
        <v>1</v>
      </c>
      <c r="I52" s="731"/>
      <c r="J52" s="731"/>
      <c r="K52" s="731"/>
      <c r="L52" s="731"/>
      <c r="M52" s="754"/>
      <c r="N52" s="342"/>
      <c r="O52" s="342"/>
      <c r="P52" s="342"/>
      <c r="Q52" s="206"/>
      <c r="R52" s="204"/>
      <c r="S52" s="11"/>
      <c r="T52" s="205"/>
      <c r="U52" s="709" t="str">
        <f>INDEX(PT_DIFFERENTIATION_NUM_IST_TE,MATCH(D52,PT_DIFFERENTIATION_IST_TE_ID,0))</f>
        <v>...</v>
      </c>
      <c r="V52" s="179" t="s">
        <v>405</v>
      </c>
      <c r="W52" s="171"/>
      <c r="X52" s="1269"/>
      <c r="Y52" s="1270"/>
      <c r="Z52" s="1270"/>
      <c r="AA52" s="1270"/>
      <c r="AB52" s="1270"/>
      <c r="AC52" s="1270"/>
      <c r="AD52" s="1270"/>
      <c r="AE52" s="1270"/>
      <c r="AF52" s="1271"/>
      <c r="AG52" s="1269" t="str">
        <f>INDEX(PT_DIFFERENTIATION_IST_TE,MATCH(D52,PT_DIFFERENTIATION_IST_TE_ID,0))</f>
        <v/>
      </c>
      <c r="AH52" s="1270"/>
      <c r="AI52" s="1270"/>
      <c r="AJ52" s="1270"/>
      <c r="AK52" s="1270"/>
      <c r="AL52" s="1270"/>
      <c r="AM52" s="1270"/>
      <c r="AN52" s="1270"/>
      <c r="AO52" s="1270"/>
      <c r="AP52" s="1271"/>
      <c r="AQ52" s="729" t="s">
        <v>406</v>
      </c>
      <c r="AS52" s="69"/>
      <c r="AT52" s="69" t="str">
        <f t="shared" si="2"/>
        <v xml:space="preserve">Источник тепловой энергии  </v>
      </c>
      <c r="AU52" s="69"/>
      <c r="AV52" s="69"/>
      <c r="AW52" s="11">
        <v>21</v>
      </c>
    </row>
    <row r="53" spans="1:49" s="68" customFormat="1" ht="0" hidden="1" customHeight="1">
      <c r="A53" s="774" t="s">
        <v>180</v>
      </c>
      <c r="B53" s="774" t="s">
        <v>181</v>
      </c>
      <c r="C53" s="774" t="s">
        <v>182</v>
      </c>
      <c r="D53" s="774" t="s">
        <v>183</v>
      </c>
      <c r="E53" s="1302"/>
      <c r="F53" s="1302"/>
      <c r="G53" s="1302"/>
      <c r="H53" s="1302"/>
      <c r="I53" s="1148" t="str">
        <f>U52&amp;".1"</f>
        <v>....1</v>
      </c>
      <c r="J53" s="774"/>
      <c r="K53" s="774"/>
      <c r="L53" s="774"/>
      <c r="M53" s="775" t="s">
        <v>407</v>
      </c>
      <c r="N53" s="722"/>
      <c r="O53" s="722"/>
      <c r="P53" s="722"/>
      <c r="Q53" s="1279">
        <v>1</v>
      </c>
      <c r="R53" s="122"/>
      <c r="S53" s="122"/>
      <c r="T53" s="208"/>
      <c r="U53" s="362"/>
      <c r="V53" s="779"/>
      <c r="W53" s="780"/>
      <c r="X53" s="1306"/>
      <c r="Y53" s="1307"/>
      <c r="Z53" s="1307"/>
      <c r="AA53" s="1307"/>
      <c r="AB53" s="1307"/>
      <c r="AC53" s="1307"/>
      <c r="AD53" s="1307"/>
      <c r="AE53" s="1307"/>
      <c r="AF53" s="1308"/>
      <c r="AG53" s="1306"/>
      <c r="AH53" s="1307"/>
      <c r="AI53" s="1307"/>
      <c r="AJ53" s="1307"/>
      <c r="AK53" s="1307"/>
      <c r="AL53" s="1307"/>
      <c r="AM53" s="1307"/>
      <c r="AN53" s="1307"/>
      <c r="AO53" s="1307"/>
      <c r="AP53" s="1308"/>
      <c r="AQ53" s="781"/>
      <c r="AS53" s="69"/>
      <c r="AT53" s="69" t="str">
        <f t="shared" si="2"/>
        <v/>
      </c>
      <c r="AU53" s="69"/>
      <c r="AV53" s="69"/>
      <c r="AW53" s="68">
        <v>0</v>
      </c>
    </row>
    <row r="54" spans="1:49" ht="21.95" customHeight="1">
      <c r="A54" s="731" t="s">
        <v>180</v>
      </c>
      <c r="B54" s="731" t="s">
        <v>181</v>
      </c>
      <c r="C54" s="731" t="s">
        <v>182</v>
      </c>
      <c r="D54" s="731" t="s">
        <v>183</v>
      </c>
      <c r="E54" s="1302"/>
      <c r="F54" s="1302"/>
      <c r="G54" s="1302"/>
      <c r="H54" s="1302"/>
      <c r="I54" s="1129"/>
      <c r="J54" s="1148" t="str">
        <f>I53&amp;".1"</f>
        <v>....1.1</v>
      </c>
      <c r="K54" s="731"/>
      <c r="L54" s="731"/>
      <c r="M54" s="754" t="s">
        <v>410</v>
      </c>
      <c r="Q54" s="1279"/>
      <c r="R54" s="1279">
        <v>1</v>
      </c>
      <c r="S54" s="68"/>
      <c r="T54" s="209"/>
      <c r="U54" s="709" t="str">
        <f>$J54</f>
        <v>....1.1</v>
      </c>
      <c r="V54" s="165" t="s">
        <v>411</v>
      </c>
      <c r="W54" s="171"/>
      <c r="X54" s="1263"/>
      <c r="Y54" s="1264"/>
      <c r="Z54" s="1264"/>
      <c r="AA54" s="1264"/>
      <c r="AB54" s="1264"/>
      <c r="AC54" s="1259"/>
      <c r="AD54" s="1259"/>
      <c r="AE54" s="1259"/>
      <c r="AF54" s="1319"/>
      <c r="AG54" s="1263"/>
      <c r="AH54" s="1264"/>
      <c r="AI54" s="1264"/>
      <c r="AJ54" s="1264"/>
      <c r="AK54" s="1264"/>
      <c r="AL54" s="1264"/>
      <c r="AM54" s="1264"/>
      <c r="AN54" s="1264"/>
      <c r="AO54" s="1264"/>
      <c r="AP54" s="1265"/>
      <c r="AQ54" s="729" t="s">
        <v>412</v>
      </c>
      <c r="AS54" s="69"/>
      <c r="AT54" s="69" t="str">
        <f t="shared" si="2"/>
        <v>Группа потребителей</v>
      </c>
      <c r="AU54" s="69"/>
      <c r="AV54" s="69"/>
      <c r="AW54" s="11">
        <v>21</v>
      </c>
    </row>
    <row r="55" spans="1:49" ht="21.95" customHeight="1">
      <c r="A55" s="731" t="s">
        <v>180</v>
      </c>
      <c r="B55" s="731" t="s">
        <v>181</v>
      </c>
      <c r="C55" s="731" t="s">
        <v>182</v>
      </c>
      <c r="D55" s="731" t="s">
        <v>183</v>
      </c>
      <c r="E55" s="1302"/>
      <c r="F55" s="1302"/>
      <c r="G55" s="1302"/>
      <c r="H55" s="1302"/>
      <c r="I55" s="1129"/>
      <c r="J55" s="1129"/>
      <c r="K55" s="1148" t="str">
        <f>J54&amp;".1"</f>
        <v>....1.1.1</v>
      </c>
      <c r="L55" s="58"/>
      <c r="M55" s="754" t="s">
        <v>413</v>
      </c>
      <c r="Q55" s="1279"/>
      <c r="R55" s="1279"/>
      <c r="S55" s="68">
        <v>1</v>
      </c>
      <c r="T55" s="209"/>
      <c r="U55" s="709" t="str">
        <f>$K55</f>
        <v>....1.1.1</v>
      </c>
      <c r="V55" s="765"/>
      <c r="W55" s="171"/>
      <c r="X55" s="306"/>
      <c r="Y55" s="306"/>
      <c r="Z55" s="306"/>
      <c r="AA55" s="306"/>
      <c r="AB55" s="798"/>
      <c r="AC55" s="1280"/>
      <c r="AD55" s="1158" t="s">
        <v>66</v>
      </c>
      <c r="AE55" s="1280"/>
      <c r="AF55" s="1158" t="s">
        <v>66</v>
      </c>
      <c r="AG55" s="800"/>
      <c r="AH55" s="306"/>
      <c r="AI55" s="306"/>
      <c r="AJ55" s="306"/>
      <c r="AK55" s="728"/>
      <c r="AL55" s="1280"/>
      <c r="AM55" s="1158" t="s">
        <v>66</v>
      </c>
      <c r="AN55" s="1280"/>
      <c r="AO55" s="1158" t="s">
        <v>66</v>
      </c>
      <c r="AP55" s="766"/>
      <c r="AQ55" s="753" t="s">
        <v>456</v>
      </c>
      <c r="AR55" s="68" t="e">
        <f ca="1">STRCHECKDATE(X57:AP57)</f>
        <v>#NAME?</v>
      </c>
      <c r="AS55" s="69"/>
      <c r="AT55" s="69" t="str">
        <f t="shared" si="2"/>
        <v/>
      </c>
      <c r="AU55" s="69"/>
      <c r="AV55" s="69"/>
      <c r="AW55" s="11">
        <v>21</v>
      </c>
    </row>
    <row r="56" spans="1:49" ht="11.45" customHeight="1">
      <c r="A56" s="731" t="s">
        <v>180</v>
      </c>
      <c r="B56" s="731" t="s">
        <v>181</v>
      </c>
      <c r="C56" s="731" t="s">
        <v>182</v>
      </c>
      <c r="D56" s="731" t="s">
        <v>183</v>
      </c>
      <c r="E56" s="1302"/>
      <c r="F56" s="1302"/>
      <c r="G56" s="1302"/>
      <c r="H56" s="1302"/>
      <c r="I56" s="1129"/>
      <c r="J56" s="1129"/>
      <c r="K56" s="1129"/>
      <c r="L56" s="1148" t="str">
        <f>K55&amp;".1"</f>
        <v>....1.1.1.1</v>
      </c>
      <c r="M56" s="754"/>
      <c r="Q56" s="1279"/>
      <c r="R56" s="1279"/>
      <c r="S56" s="68">
        <v>1</v>
      </c>
      <c r="T56" s="209"/>
      <c r="U56" s="709" t="str">
        <f>$L56</f>
        <v>....1.1.1.1</v>
      </c>
      <c r="V56" s="787"/>
      <c r="W56" s="171"/>
      <c r="X56" s="191"/>
      <c r="Y56" s="306"/>
      <c r="Z56" s="306"/>
      <c r="AA56" s="306"/>
      <c r="AB56" s="798"/>
      <c r="AC56" s="1281"/>
      <c r="AD56" s="1158"/>
      <c r="AE56" s="1281"/>
      <c r="AF56" s="1158"/>
      <c r="AG56" s="800"/>
      <c r="AH56" s="306"/>
      <c r="AI56" s="306"/>
      <c r="AJ56" s="306"/>
      <c r="AK56" s="728"/>
      <c r="AL56" s="1281"/>
      <c r="AM56" s="1158"/>
      <c r="AN56" s="1281"/>
      <c r="AO56" s="1158"/>
      <c r="AP56" s="766"/>
      <c r="AQ56" s="1298" t="s">
        <v>457</v>
      </c>
      <c r="AR56" s="68" t="e">
        <f ca="1">STRCHECKDATE(X58:AP58)</f>
        <v>#NAME?</v>
      </c>
      <c r="AS56" s="69"/>
      <c r="AT56" s="69" t="str">
        <f t="shared" si="2"/>
        <v/>
      </c>
      <c r="AU56" s="69"/>
      <c r="AV56" s="69"/>
      <c r="AW56" s="11">
        <v>11</v>
      </c>
    </row>
    <row r="57" spans="1:49" ht="0" hidden="1" customHeight="1">
      <c r="A57" s="731" t="s">
        <v>180</v>
      </c>
      <c r="B57" s="731" t="s">
        <v>181</v>
      </c>
      <c r="C57" s="731" t="s">
        <v>182</v>
      </c>
      <c r="D57" s="731" t="s">
        <v>183</v>
      </c>
      <c r="E57" s="1302"/>
      <c r="F57" s="1302"/>
      <c r="G57" s="1302"/>
      <c r="H57" s="1302"/>
      <c r="I57" s="1129"/>
      <c r="J57" s="1129"/>
      <c r="K57" s="1129"/>
      <c r="L57" s="1148"/>
      <c r="M57" s="754"/>
      <c r="Q57" s="1279"/>
      <c r="R57" s="1279"/>
      <c r="S57" s="68"/>
      <c r="T57" s="209"/>
      <c r="U57" s="65"/>
      <c r="V57" s="171"/>
      <c r="W57" s="171"/>
      <c r="X57" s="191"/>
      <c r="Y57" s="191"/>
      <c r="Z57" s="191"/>
      <c r="AA57" s="191"/>
      <c r="AB57" s="799" t="str">
        <f>AC55&amp;"-"&amp;AE55</f>
        <v>-</v>
      </c>
      <c r="AC57" s="1281"/>
      <c r="AD57" s="1158"/>
      <c r="AE57" s="1281"/>
      <c r="AF57" s="1158"/>
      <c r="AG57" s="778"/>
      <c r="AH57" s="191"/>
      <c r="AI57" s="191"/>
      <c r="AJ57" s="191"/>
      <c r="AK57" s="192" t="str">
        <f>AL55&amp;"-"&amp;AN55</f>
        <v>-</v>
      </c>
      <c r="AL57" s="1281"/>
      <c r="AM57" s="1158"/>
      <c r="AN57" s="1281"/>
      <c r="AO57" s="1158"/>
      <c r="AP57" s="767"/>
      <c r="AQ57" s="1299"/>
      <c r="AS57" s="69"/>
      <c r="AT57" s="69" t="str">
        <f t="shared" si="2"/>
        <v/>
      </c>
      <c r="AU57" s="69"/>
      <c r="AV57" s="69"/>
      <c r="AW57" s="11">
        <v>0</v>
      </c>
    </row>
    <row r="58" spans="1:49" ht="11.45" customHeight="1">
      <c r="A58" s="731" t="s">
        <v>180</v>
      </c>
      <c r="B58" s="731" t="s">
        <v>181</v>
      </c>
      <c r="C58" s="731" t="s">
        <v>182</v>
      </c>
      <c r="D58" s="731" t="s">
        <v>183</v>
      </c>
      <c r="E58" s="1302"/>
      <c r="F58" s="1302"/>
      <c r="G58" s="1302"/>
      <c r="H58" s="1302"/>
      <c r="I58" s="1129"/>
      <c r="J58" s="1129"/>
      <c r="K58" s="1148"/>
      <c r="L58" s="731"/>
      <c r="M58" s="754"/>
      <c r="Q58" s="1279"/>
      <c r="R58" s="1279"/>
      <c r="S58" s="122"/>
      <c r="T58" s="208"/>
      <c r="U58" s="742"/>
      <c r="V58" s="167" t="s">
        <v>458</v>
      </c>
      <c r="W58" s="213"/>
      <c r="X58" s="213"/>
      <c r="Y58" s="213"/>
      <c r="Z58" s="213"/>
      <c r="AA58" s="213"/>
      <c r="AB58" s="213"/>
      <c r="AC58" s="1281"/>
      <c r="AD58" s="1158"/>
      <c r="AE58" s="1281"/>
      <c r="AF58" s="1158"/>
      <c r="AG58" s="213"/>
      <c r="AH58" s="213"/>
      <c r="AI58" s="213"/>
      <c r="AJ58" s="213"/>
      <c r="AK58" s="213"/>
      <c r="AL58" s="1281"/>
      <c r="AM58" s="1158"/>
      <c r="AN58" s="1281"/>
      <c r="AO58" s="1158"/>
      <c r="AP58" s="190"/>
      <c r="AQ58" s="1299"/>
      <c r="AS58" s="69"/>
      <c r="AT58" s="69" t="str">
        <f t="shared" si="2"/>
        <v>Добавить наименование поставщика</v>
      </c>
      <c r="AU58" s="69"/>
      <c r="AV58" s="69"/>
      <c r="AW58" s="11">
        <v>11</v>
      </c>
    </row>
    <row r="59" spans="1:49" ht="11.45" customHeight="1">
      <c r="A59" s="731" t="s">
        <v>180</v>
      </c>
      <c r="B59" s="731" t="s">
        <v>181</v>
      </c>
      <c r="C59" s="731" t="s">
        <v>182</v>
      </c>
      <c r="D59" s="731" t="s">
        <v>183</v>
      </c>
      <c r="E59" s="1302"/>
      <c r="F59" s="1302"/>
      <c r="G59" s="1302"/>
      <c r="H59" s="1302"/>
      <c r="I59" s="1129"/>
      <c r="J59" s="1148"/>
      <c r="K59" s="731"/>
      <c r="L59" s="731"/>
      <c r="M59" s="754"/>
      <c r="Q59" s="1279"/>
      <c r="R59" s="1279"/>
      <c r="S59" s="122"/>
      <c r="T59" s="208"/>
      <c r="U59" s="742"/>
      <c r="V59" s="166" t="s">
        <v>415</v>
      </c>
      <c r="W59" s="213"/>
      <c r="X59" s="213"/>
      <c r="Y59" s="213"/>
      <c r="Z59" s="213"/>
      <c r="AA59" s="213"/>
      <c r="AB59" s="213"/>
      <c r="AC59" s="801"/>
      <c r="AD59" s="801"/>
      <c r="AE59" s="801"/>
      <c r="AF59" s="801"/>
      <c r="AG59" s="213"/>
      <c r="AH59" s="213"/>
      <c r="AI59" s="213"/>
      <c r="AJ59" s="213"/>
      <c r="AK59" s="213"/>
      <c r="AL59" s="213"/>
      <c r="AM59" s="213"/>
      <c r="AN59" s="213"/>
      <c r="AO59" s="213"/>
      <c r="AP59" s="190"/>
      <c r="AQ59" s="1300"/>
      <c r="AS59" s="69"/>
      <c r="AT59" s="69" t="str">
        <f t="shared" si="2"/>
        <v>Добавить вид теплоносителя (параметры теплоносителя)</v>
      </c>
      <c r="AU59" s="69"/>
      <c r="AV59" s="69"/>
      <c r="AW59" s="11">
        <v>11</v>
      </c>
    </row>
    <row r="60" spans="1:49" ht="11.45" customHeight="1">
      <c r="A60" s="731" t="s">
        <v>180</v>
      </c>
      <c r="B60" s="731" t="s">
        <v>181</v>
      </c>
      <c r="C60" s="731" t="s">
        <v>182</v>
      </c>
      <c r="D60" s="731" t="s">
        <v>183</v>
      </c>
      <c r="E60" s="1302"/>
      <c r="F60" s="1302"/>
      <c r="G60" s="1302"/>
      <c r="H60" s="1302"/>
      <c r="I60" s="1148"/>
      <c r="J60" s="731"/>
      <c r="K60" s="731"/>
      <c r="L60" s="731"/>
      <c r="M60" s="754"/>
      <c r="Q60" s="1279"/>
      <c r="R60" s="122"/>
      <c r="S60" s="122"/>
      <c r="T60" s="208"/>
      <c r="U60" s="742"/>
      <c r="V60" s="211" t="s">
        <v>416</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180</v>
      </c>
      <c r="B61" s="731" t="s">
        <v>181</v>
      </c>
      <c r="C61" s="731" t="s">
        <v>182</v>
      </c>
      <c r="D61" s="731" t="s">
        <v>183</v>
      </c>
      <c r="E61" s="1302"/>
      <c r="F61" s="1302"/>
      <c r="G61" s="1302"/>
      <c r="H61" s="1301"/>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180</v>
      </c>
      <c r="B62" s="774" t="s">
        <v>181</v>
      </c>
      <c r="C62" s="774" t="s">
        <v>182</v>
      </c>
      <c r="D62" s="774"/>
      <c r="E62" s="1302"/>
      <c r="F62" s="1302"/>
      <c r="G62" s="1301"/>
      <c r="H62" s="774"/>
      <c r="I62" s="774"/>
      <c r="J62" s="774"/>
      <c r="K62" s="774"/>
      <c r="L62" s="774"/>
      <c r="M62" s="775"/>
      <c r="N62" s="776"/>
      <c r="O62" s="776"/>
      <c r="P62" s="203"/>
      <c r="Q62" s="104"/>
      <c r="R62" s="755"/>
      <c r="S62" s="104"/>
      <c r="T62" s="104"/>
      <c r="U62" s="760"/>
      <c r="V62" s="762" t="s">
        <v>418</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180</v>
      </c>
      <c r="B63" s="774" t="s">
        <v>181</v>
      </c>
      <c r="C63" s="774"/>
      <c r="D63" s="774"/>
      <c r="E63" s="1302"/>
      <c r="F63" s="1301"/>
      <c r="G63" s="774"/>
      <c r="H63" s="774"/>
      <c r="I63" s="774"/>
      <c r="J63" s="774"/>
      <c r="K63" s="774"/>
      <c r="L63" s="774"/>
      <c r="M63" s="775"/>
      <c r="N63" s="777"/>
      <c r="O63" s="777"/>
      <c r="P63" s="203"/>
      <c r="Q63" s="104"/>
      <c r="R63" s="755"/>
      <c r="S63" s="104"/>
      <c r="T63" s="104"/>
      <c r="U63" s="760"/>
      <c r="V63" s="762" t="s">
        <v>419</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180</v>
      </c>
      <c r="B64" s="774"/>
      <c r="C64" s="774"/>
      <c r="D64" s="774"/>
      <c r="E64" s="1301"/>
      <c r="F64" s="774"/>
      <c r="G64" s="774"/>
      <c r="H64" s="774"/>
      <c r="I64" s="774"/>
      <c r="J64" s="774"/>
      <c r="K64" s="774"/>
      <c r="L64" s="774"/>
      <c r="M64" s="775"/>
      <c r="N64" s="777"/>
      <c r="O64" s="777"/>
      <c r="P64" s="203"/>
      <c r="Q64" s="104"/>
      <c r="R64" s="755"/>
      <c r="S64" s="104"/>
      <c r="T64" s="104"/>
      <c r="U64" s="760"/>
      <c r="V64" s="762" t="s">
        <v>420</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1500000000000004"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452</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45" customHeight="1">
      <c r="N66" s="11"/>
      <c r="O66" s="11"/>
      <c r="P66" s="11"/>
      <c r="Q66" s="11"/>
      <c r="R66" s="11"/>
      <c r="S66" s="11"/>
      <c r="T66" s="11"/>
      <c r="U66" s="11"/>
      <c r="AR66" s="11"/>
      <c r="AS66" s="11"/>
      <c r="AT66" s="11"/>
      <c r="AU66" s="11"/>
      <c r="AV66" s="11"/>
      <c r="AW66" s="11">
        <v>11</v>
      </c>
    </row>
    <row r="67" spans="1:49" ht="35.65" customHeight="1">
      <c r="P67" s="11"/>
      <c r="U67" s="198"/>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W67" s="11">
        <v>34</v>
      </c>
    </row>
    <row r="68" spans="1:49" ht="21" customHeight="1">
      <c r="P68" s="11"/>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W68" s="11">
        <v>20</v>
      </c>
    </row>
    <row r="69" spans="1:49" ht="14.65" customHeight="1">
      <c r="P69" s="11"/>
      <c r="AW69" s="11">
        <v>14</v>
      </c>
    </row>
    <row r="70" spans="1:49" ht="28.5" customHeight="1">
      <c r="P70" s="11"/>
      <c r="V70" s="1274"/>
      <c r="W70" s="1274"/>
      <c r="X70" s="1274"/>
      <c r="Y70" s="1274"/>
      <c r="Z70" s="1274"/>
      <c r="AA70" s="1274"/>
      <c r="AB70" s="1274"/>
      <c r="AC70" s="1274"/>
      <c r="AD70" s="1274"/>
      <c r="AE70" s="1274"/>
      <c r="AF70" s="1274"/>
      <c r="AG70" s="1274"/>
      <c r="AH70" s="1274"/>
      <c r="AI70" s="1274"/>
      <c r="AJ70" s="1274"/>
      <c r="AK70" s="1274"/>
      <c r="AL70" s="1274"/>
      <c r="AM70" s="1274"/>
      <c r="AN70" s="1274"/>
      <c r="AO70" s="1274"/>
      <c r="AP70" s="1274"/>
      <c r="AQ70" s="1274"/>
      <c r="AW70" s="11">
        <v>27</v>
      </c>
    </row>
    <row r="71" spans="1:49" ht="18.75" customHeight="1">
      <c r="P71" s="11"/>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W71" s="11">
        <v>18</v>
      </c>
    </row>
    <row r="72" spans="1:49" ht="22.5" hidden="1" customHeight="1">
      <c r="A72" s="11" t="s">
        <v>82</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8F182-6D8A-B1FD-9E92-C1C7618DE05F}">
  <sheetPr>
    <tabColor rgb="FFCCCCFF"/>
  </sheetPr>
  <dimension ref="A1:Q79"/>
  <sheetViews>
    <sheetView showGridLines="0" topLeftCell="C1" zoomScale="90" workbookViewId="0">
      <selection activeCell="I39" sqref="I39"/>
    </sheetView>
  </sheetViews>
  <sheetFormatPr defaultColWidth="9.140625" defaultRowHeight="11.25" customHeight="1"/>
  <cols>
    <col min="1" max="1" width="10.7109375" style="448"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406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PP110.OPEN.INFO.QUARTER.HEAT.EIAS</v>
      </c>
      <c r="F2" s="159"/>
      <c r="G2" s="33"/>
      <c r="H2" s="33"/>
      <c r="I2" s="33"/>
      <c r="J2" s="506"/>
      <c r="K2" s="33"/>
      <c r="Q2" s="8">
        <v>14</v>
      </c>
    </row>
    <row r="3" spans="1:17" ht="14.65" customHeight="1">
      <c r="E3" s="144" t="str">
        <f>version</f>
        <v>Версия отчёта: 1.1.1</v>
      </c>
      <c r="F3" s="159"/>
      <c r="G3"/>
      <c r="H3"/>
      <c r="I3"/>
      <c r="J3" s="62"/>
      <c r="K3"/>
      <c r="Q3" s="11">
        <v>14</v>
      </c>
    </row>
    <row r="4" spans="1:17" s="136" customFormat="1" ht="6.4" customHeight="1">
      <c r="A4" s="448"/>
      <c r="B4" s="132"/>
      <c r="C4" s="133"/>
      <c r="D4" s="134"/>
      <c r="F4" s="143"/>
      <c r="G4" s="58"/>
      <c r="H4" s="11"/>
      <c r="I4" s="234"/>
      <c r="J4" s="404"/>
      <c r="Q4" s="136">
        <v>6</v>
      </c>
    </row>
    <row r="5" spans="1:17" ht="39.75" customHeight="1">
      <c r="D5" s="12"/>
      <c r="E5" s="112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1129"/>
      <c r="G5" s="441"/>
      <c r="J5" s="507"/>
      <c r="Q5" s="11">
        <v>38</v>
      </c>
    </row>
    <row r="6" spans="1:17" s="136" customFormat="1" ht="6.4"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4" customHeight="1">
      <c r="A8" s="449"/>
      <c r="B8" s="132"/>
      <c r="C8" s="133"/>
      <c r="D8" s="139"/>
      <c r="E8" s="137"/>
      <c r="F8" s="140"/>
      <c r="G8" s="14"/>
      <c r="H8" s="11"/>
      <c r="I8" s="234"/>
      <c r="J8" s="508"/>
      <c r="Q8" s="136">
        <v>6</v>
      </c>
    </row>
    <row r="9" spans="1:17" s="11" customFormat="1" ht="19.5" hidden="1" customHeight="1">
      <c r="A9" s="448"/>
      <c r="B9" s="30"/>
      <c r="C9" s="9"/>
      <c r="D9" s="12"/>
      <c r="E9" s="222" t="s">
        <v>17</v>
      </c>
      <c r="F9" s="1037"/>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31" t="s">
        <v>20</v>
      </c>
      <c r="D11" s="12"/>
      <c r="E11" s="222" t="s">
        <v>21</v>
      </c>
      <c r="F11" s="941" t="s">
        <v>22</v>
      </c>
      <c r="G11" s="14"/>
      <c r="H11" s="442" t="s">
        <v>23</v>
      </c>
      <c r="J11" s="63" t="s">
        <v>24</v>
      </c>
      <c r="Q11" s="11">
        <v>0</v>
      </c>
    </row>
    <row r="12" spans="1:17" ht="22.5" hidden="1" customHeight="1">
      <c r="A12" s="1131"/>
      <c r="D12" s="12"/>
      <c r="E12" s="222" t="s">
        <v>25</v>
      </c>
      <c r="F12" s="941"/>
      <c r="G12" s="10"/>
      <c r="J12" s="63" t="s">
        <v>26</v>
      </c>
      <c r="Q12" s="11">
        <v>0</v>
      </c>
    </row>
    <row r="13" spans="1:17" s="11" customFormat="1" ht="22.5" hidden="1" customHeight="1">
      <c r="A13" s="451" t="s">
        <v>27</v>
      </c>
      <c r="B13" s="30"/>
      <c r="C13" s="9"/>
      <c r="D13" s="12"/>
      <c r="E13" s="976" t="s">
        <v>28</v>
      </c>
      <c r="F13" s="941" t="s">
        <v>22</v>
      </c>
      <c r="G13" s="14"/>
      <c r="H13"/>
      <c r="I13" s="234"/>
      <c r="J13" s="506" t="s">
        <v>29</v>
      </c>
      <c r="Q13" s="11">
        <v>0</v>
      </c>
    </row>
    <row r="14" spans="1:17" s="11" customFormat="1" ht="27" customHeight="1">
      <c r="A14" s="451" t="s">
        <v>30</v>
      </c>
      <c r="B14" s="30"/>
      <c r="C14" s="9"/>
      <c r="D14" s="12"/>
      <c r="E14" s="222" t="s">
        <v>31</v>
      </c>
      <c r="F14" s="106">
        <v>2024</v>
      </c>
      <c r="G14" s="14"/>
      <c r="H14"/>
      <c r="I14" s="234"/>
      <c r="J14" s="63" t="s">
        <v>32</v>
      </c>
      <c r="Q14" s="11">
        <v>0</v>
      </c>
    </row>
    <row r="15" spans="1:17" s="11" customFormat="1" ht="19.5" customHeight="1">
      <c r="A15" s="451" t="s">
        <v>33</v>
      </c>
      <c r="B15" s="30"/>
      <c r="C15" s="9"/>
      <c r="D15" s="12"/>
      <c r="E15" s="222" t="s">
        <v>34</v>
      </c>
      <c r="F15" s="106" t="s">
        <v>35</v>
      </c>
      <c r="G15" s="14"/>
      <c r="H15"/>
      <c r="I15" s="234"/>
      <c r="J15" s="63" t="s">
        <v>36</v>
      </c>
      <c r="Q15" s="11">
        <v>0</v>
      </c>
    </row>
    <row r="16" spans="1:17" s="136" customFormat="1" ht="6.4" customHeight="1">
      <c r="A16" s="449"/>
      <c r="B16" s="132"/>
      <c r="C16" s="133"/>
      <c r="D16" s="139"/>
      <c r="E16" s="137"/>
      <c r="F16" s="140"/>
      <c r="G16" s="14"/>
      <c r="H16" s="11"/>
      <c r="I16" s="234"/>
      <c r="J16" s="404"/>
      <c r="Q16" s="136">
        <v>6</v>
      </c>
    </row>
    <row r="17" spans="1:17" ht="21" customHeight="1">
      <c r="D17" s="12"/>
      <c r="E17" s="222" t="s">
        <v>37</v>
      </c>
      <c r="F17" s="119" t="s">
        <v>38</v>
      </c>
      <c r="G17" s="10"/>
      <c r="H17" s="442" t="s">
        <v>23</v>
      </c>
      <c r="Q17" s="11">
        <v>20</v>
      </c>
    </row>
    <row r="18" spans="1:17" ht="25.5" hidden="1" customHeight="1">
      <c r="D18" s="12"/>
      <c r="E18" s="976" t="s">
        <v>39</v>
      </c>
      <c r="F18" s="942"/>
      <c r="G18" s="10"/>
      <c r="I18" s="443"/>
      <c r="J18" s="1130" t="s">
        <v>40</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30"/>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41</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42</v>
      </c>
      <c r="F23" s="119"/>
      <c r="G23" s="10"/>
      <c r="Q23" s="11">
        <v>0</v>
      </c>
    </row>
    <row r="24" spans="1:17" ht="19.5" hidden="1" customHeight="1">
      <c r="D24" s="12"/>
      <c r="E24" s="222" t="s">
        <v>43</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44</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45</v>
      </c>
      <c r="F28" s="121"/>
      <c r="G28" s="10"/>
      <c r="Q28" s="11">
        <v>0</v>
      </c>
    </row>
    <row r="29" spans="1:17" ht="19.5" hidden="1" customHeight="1">
      <c r="D29" s="12"/>
      <c r="E29" s="222" t="s">
        <v>43</v>
      </c>
      <c r="F29" s="121"/>
      <c r="G29" s="10"/>
      <c r="Q29" s="11">
        <v>0</v>
      </c>
    </row>
    <row r="30" spans="1:17" s="136" customFormat="1" ht="6.4"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46</v>
      </c>
      <c r="G31" s="445"/>
      <c r="Q31" s="11">
        <v>20</v>
      </c>
    </row>
    <row r="32" spans="1:17" ht="21" hidden="1" customHeight="1">
      <c r="C32" s="15"/>
      <c r="D32" s="16"/>
      <c r="E32" s="223" t="s">
        <v>47</v>
      </c>
      <c r="F32" s="120"/>
      <c r="G32" s="445"/>
      <c r="Q32" s="11">
        <v>20</v>
      </c>
    </row>
    <row r="33" spans="1:17" ht="21" customHeight="1">
      <c r="C33" s="15"/>
      <c r="D33" s="16"/>
      <c r="E33" s="222" t="s">
        <v>48</v>
      </c>
      <c r="F33" s="120" t="s">
        <v>49</v>
      </c>
      <c r="G33" s="445"/>
      <c r="Q33" s="11">
        <v>20</v>
      </c>
    </row>
    <row r="34" spans="1:17" ht="21" customHeight="1">
      <c r="C34" s="15"/>
      <c r="D34" s="16"/>
      <c r="E34" s="222" t="s">
        <v>50</v>
      </c>
      <c r="F34" s="120" t="s">
        <v>51</v>
      </c>
      <c r="G34" s="445"/>
      <c r="H34" s="17"/>
      <c r="Q34" s="11">
        <v>20</v>
      </c>
    </row>
    <row r="35" spans="1:17" s="136" customFormat="1" ht="11.45" customHeight="1">
      <c r="A35" s="449"/>
      <c r="B35" s="132"/>
      <c r="C35" s="133"/>
      <c r="D35" s="139"/>
      <c r="E35" s="137"/>
      <c r="F35" s="140"/>
      <c r="G35" s="14"/>
      <c r="H35" s="11"/>
      <c r="I35" s="234"/>
      <c r="J35" s="404"/>
      <c r="Q35" s="136">
        <v>11</v>
      </c>
    </row>
    <row r="36" spans="1:17" ht="19.5" customHeight="1">
      <c r="A36" s="509"/>
      <c r="D36" s="16"/>
      <c r="E36" s="222" t="s">
        <v>52</v>
      </c>
      <c r="F36" s="202" t="s">
        <v>53</v>
      </c>
      <c r="G36" s="14"/>
      <c r="Q36" s="11">
        <v>0</v>
      </c>
    </row>
    <row r="37" spans="1:17" ht="21" customHeight="1">
      <c r="A37" s="509"/>
      <c r="D37" s="16"/>
      <c r="E37" s="222" t="s">
        <v>54</v>
      </c>
      <c r="F37" s="202" t="s">
        <v>55</v>
      </c>
      <c r="G37" s="14"/>
      <c r="Q37" s="11">
        <v>20</v>
      </c>
    </row>
    <row r="38" spans="1:17" s="136" customFormat="1" ht="6.4" customHeight="1">
      <c r="A38" s="449"/>
      <c r="B38" s="132"/>
      <c r="C38" s="133"/>
      <c r="D38" s="134"/>
      <c r="E38" s="135"/>
      <c r="F38" s="620"/>
      <c r="G38" s="10"/>
      <c r="H38" s="11"/>
      <c r="I38" s="234"/>
      <c r="J38" s="63"/>
      <c r="Q38" s="136">
        <v>6</v>
      </c>
    </row>
    <row r="39" spans="1:17" ht="36.75" customHeight="1">
      <c r="A39" s="449"/>
      <c r="D39" s="12"/>
      <c r="E39" s="222" t="s">
        <v>56</v>
      </c>
      <c r="F39" s="408" t="s">
        <v>19</v>
      </c>
      <c r="G39" s="10"/>
      <c r="H39" s="442" t="s">
        <v>23</v>
      </c>
      <c r="Q39" s="11">
        <v>35</v>
      </c>
    </row>
    <row r="40" spans="1:17" s="136" customFormat="1" ht="6.4"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57</v>
      </c>
      <c r="F43" s="408" t="s">
        <v>19</v>
      </c>
      <c r="G43" s="10"/>
      <c r="I43" s="234"/>
      <c r="J43" s="63"/>
      <c r="Q43" s="11">
        <v>0</v>
      </c>
    </row>
    <row r="44" spans="1:17" s="11" customFormat="1" ht="27" hidden="1" customHeight="1">
      <c r="A44" s="448"/>
      <c r="B44" s="30"/>
      <c r="C44" s="9"/>
      <c r="D44" s="12"/>
      <c r="E44" s="222" t="s">
        <v>58</v>
      </c>
      <c r="F44" s="1019"/>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59</v>
      </c>
      <c r="F46" s="408" t="s">
        <v>19</v>
      </c>
      <c r="G46" s="10"/>
      <c r="H46" s="11"/>
      <c r="I46" s="234"/>
      <c r="J46" s="63"/>
      <c r="Q46" s="136">
        <v>0</v>
      </c>
    </row>
    <row r="47" spans="1:17" s="11" customFormat="1" ht="24.75" hidden="1" customHeight="1">
      <c r="A47" s="448"/>
      <c r="B47" s="30"/>
      <c r="C47" s="9"/>
      <c r="D47" s="12"/>
      <c r="E47" s="222" t="s">
        <v>60</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408"/>
      <c r="G49" s="10"/>
      <c r="Q49" s="11">
        <v>0</v>
      </c>
    </row>
    <row r="50" spans="1:17" s="136" customFormat="1" ht="6" hidden="1" customHeight="1">
      <c r="A50" s="449"/>
      <c r="B50" s="132"/>
      <c r="C50" s="133"/>
      <c r="D50" s="139"/>
      <c r="E50" s="137"/>
      <c r="F50" s="140"/>
      <c r="G50" s="14"/>
      <c r="H50" s="11"/>
      <c r="I50" s="234"/>
      <c r="J50" s="63"/>
      <c r="Q50" s="136">
        <v>0</v>
      </c>
    </row>
    <row r="51" spans="1:17" s="11" customFormat="1" ht="28.5" hidden="1" customHeight="1">
      <c r="A51" s="450"/>
      <c r="B51" s="30"/>
      <c r="C51" s="9"/>
      <c r="D51" s="234"/>
      <c r="E51" s="222" t="s">
        <v>61</v>
      </c>
      <c r="F51" s="408" t="s">
        <v>19</v>
      </c>
      <c r="G51" s="58"/>
      <c r="I51" s="301"/>
      <c r="J51" s="63"/>
      <c r="P51" s="302"/>
      <c r="Q51" s="11">
        <v>0</v>
      </c>
    </row>
    <row r="52" spans="1:17" s="136" customFormat="1" ht="6" hidden="1" customHeight="1">
      <c r="A52" s="449"/>
      <c r="B52" s="132"/>
      <c r="C52" s="133"/>
      <c r="D52" s="139"/>
      <c r="E52" s="137"/>
      <c r="F52" s="140"/>
      <c r="G52" s="14"/>
      <c r="H52" s="11"/>
      <c r="I52" s="234"/>
      <c r="J52" s="404"/>
      <c r="Q52" s="136">
        <v>0</v>
      </c>
    </row>
    <row r="53" spans="1:17" s="11" customFormat="1" ht="27" hidden="1" customHeight="1">
      <c r="A53" s="450"/>
      <c r="B53" s="30"/>
      <c r="C53" s="9"/>
      <c r="D53" s="234"/>
      <c r="E53" s="222" t="s">
        <v>62</v>
      </c>
      <c r="F53" s="619" t="s">
        <v>19</v>
      </c>
      <c r="G53" s="58"/>
      <c r="I53" s="301"/>
      <c r="J53" s="63"/>
      <c r="P53" s="302"/>
      <c r="Q53" s="11">
        <v>0</v>
      </c>
    </row>
    <row r="54" spans="1:17" s="11" customFormat="1" ht="27" hidden="1" customHeight="1">
      <c r="A54" s="450"/>
      <c r="B54" s="30"/>
      <c r="C54" s="9"/>
      <c r="D54" s="234"/>
      <c r="E54" s="222" t="s">
        <v>63</v>
      </c>
      <c r="F54" s="975"/>
      <c r="G54" s="58"/>
      <c r="I54" s="301"/>
      <c r="J54" s="63"/>
      <c r="P54" s="302"/>
      <c r="Q54" s="11">
        <v>0</v>
      </c>
    </row>
    <row r="55" spans="1:17" s="136" customFormat="1" ht="6" hidden="1" customHeight="1">
      <c r="A55" s="449"/>
      <c r="B55" s="132"/>
      <c r="C55" s="133"/>
      <c r="D55" s="139"/>
      <c r="E55" s="137"/>
      <c r="F55" s="140"/>
      <c r="G55" s="14"/>
      <c r="H55" s="11"/>
      <c r="I55" s="234"/>
      <c r="J55" s="404"/>
      <c r="Q55" s="136">
        <v>0</v>
      </c>
    </row>
    <row r="56" spans="1:17" s="11" customFormat="1" ht="25.5" hidden="1" customHeight="1">
      <c r="A56" s="450"/>
      <c r="B56" s="30"/>
      <c r="C56" s="9"/>
      <c r="D56" s="234"/>
      <c r="E56" s="222" t="s">
        <v>64</v>
      </c>
      <c r="F56" s="619" t="s">
        <v>19</v>
      </c>
      <c r="G56" s="58"/>
      <c r="I56" s="301"/>
      <c r="J56" s="63"/>
      <c r="P56" s="302"/>
      <c r="Q56" s="11">
        <v>0</v>
      </c>
    </row>
    <row r="57" spans="1:17" s="136" customFormat="1" ht="6" hidden="1" customHeight="1">
      <c r="A57" s="449"/>
      <c r="B57" s="132"/>
      <c r="C57" s="133"/>
      <c r="D57" s="139"/>
      <c r="E57" s="137"/>
      <c r="F57" s="140"/>
      <c r="G57" s="14"/>
      <c r="H57" s="11"/>
      <c r="I57" s="234"/>
      <c r="J57" s="404"/>
      <c r="Q57" s="136">
        <v>0</v>
      </c>
    </row>
    <row r="58" spans="1:17" s="11" customFormat="1" ht="15" hidden="1" customHeight="1">
      <c r="A58" s="450"/>
      <c r="B58" s="30"/>
      <c r="C58" s="9"/>
      <c r="D58" s="234"/>
      <c r="E58" s="222" t="s">
        <v>65</v>
      </c>
      <c r="F58" s="619" t="s">
        <v>66</v>
      </c>
      <c r="G58" s="58"/>
      <c r="I58" s="301"/>
      <c r="J58" s="63"/>
      <c r="P58" s="302"/>
      <c r="Q58" s="11">
        <v>0</v>
      </c>
    </row>
    <row r="59" spans="1:17" s="11" customFormat="1" ht="75" hidden="1"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619"/>
      <c r="G59" s="58"/>
      <c r="I59" s="301"/>
      <c r="J59" s="63"/>
      <c r="P59" s="302"/>
      <c r="Q59" s="11">
        <v>0</v>
      </c>
    </row>
    <row r="60" spans="1:17" s="11" customFormat="1" ht="15" hidden="1" customHeight="1">
      <c r="A60" s="450"/>
      <c r="B60" s="30"/>
      <c r="C60" s="9"/>
      <c r="D60" s="234"/>
      <c r="E60" s="222" t="s">
        <v>67</v>
      </c>
      <c r="F60" s="202"/>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68</v>
      </c>
      <c r="F62" s="408" t="s">
        <v>66</v>
      </c>
      <c r="G62" s="10"/>
      <c r="H62" s="442" t="s">
        <v>23</v>
      </c>
      <c r="I62" s="234"/>
      <c r="J62" s="63"/>
      <c r="Q62" s="11">
        <v>0</v>
      </c>
    </row>
    <row r="63" spans="1:17" s="136" customFormat="1" ht="6.4" customHeight="1">
      <c r="A63" s="449"/>
      <c r="B63" s="132"/>
      <c r="C63" s="133"/>
      <c r="D63" s="139"/>
      <c r="E63" s="137"/>
      <c r="F63" s="140"/>
      <c r="G63" s="14"/>
      <c r="H63" s="11"/>
      <c r="I63" s="234"/>
      <c r="J63" s="404"/>
      <c r="Q63" s="136">
        <v>6</v>
      </c>
    </row>
    <row r="64" spans="1:17" ht="21" customHeight="1">
      <c r="B64" s="31"/>
      <c r="D64" s="19"/>
      <c r="E64" s="222" t="s">
        <v>69</v>
      </c>
      <c r="F64" s="119" t="s">
        <v>70</v>
      </c>
      <c r="G64" s="14"/>
      <c r="Q64" s="11">
        <v>20</v>
      </c>
    </row>
    <row r="65" spans="1:17" ht="21" customHeight="1">
      <c r="B65" s="31"/>
      <c r="D65" s="19"/>
      <c r="E65" s="222" t="s">
        <v>71</v>
      </c>
      <c r="F65" s="119" t="s">
        <v>72</v>
      </c>
      <c r="G65" s="14"/>
      <c r="Q65" s="11">
        <v>20</v>
      </c>
    </row>
    <row r="66" spans="1:17" ht="36.75" customHeight="1">
      <c r="D66" s="12"/>
      <c r="E66" s="224" t="s">
        <v>73</v>
      </c>
      <c r="F66" s="80"/>
      <c r="G66" s="10"/>
      <c r="Q66" s="11">
        <v>35</v>
      </c>
    </row>
    <row r="67" spans="1:17" ht="21" customHeight="1">
      <c r="D67" s="12"/>
      <c r="E67" s="222" t="s">
        <v>74</v>
      </c>
      <c r="F67" s="119" t="s">
        <v>75</v>
      </c>
      <c r="G67" s="14"/>
      <c r="Q67" s="11">
        <v>20</v>
      </c>
    </row>
    <row r="68" spans="1:17" ht="21" customHeight="1">
      <c r="B68" s="31"/>
      <c r="D68" s="19"/>
      <c r="E68" s="222" t="s">
        <v>76</v>
      </c>
      <c r="F68" s="119" t="s">
        <v>77</v>
      </c>
      <c r="G68" s="14"/>
      <c r="Q68" s="11">
        <v>20</v>
      </c>
    </row>
    <row r="69" spans="1:17" ht="21" customHeight="1">
      <c r="B69" s="31"/>
      <c r="D69" s="19"/>
      <c r="E69" s="222" t="s">
        <v>78</v>
      </c>
      <c r="F69" s="119" t="s">
        <v>79</v>
      </c>
      <c r="G69" s="14"/>
      <c r="Q69" s="11">
        <v>20</v>
      </c>
    </row>
    <row r="70" spans="1:17" ht="21" customHeight="1">
      <c r="D70" s="12"/>
      <c r="E70" s="222" t="s">
        <v>80</v>
      </c>
      <c r="F70" s="1107" t="s">
        <v>81</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1"/>
      <c r="F78" s="221"/>
      <c r="G78" s="221"/>
      <c r="H78" s="221"/>
      <c r="I78" s="221"/>
      <c r="Q78" s="11">
        <v>11</v>
      </c>
    </row>
    <row r="79" spans="1:17" ht="11.25" hidden="1" customHeight="1">
      <c r="A79" s="448" t="s">
        <v>82</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374F516F-7E4A-2ED8-681A-3324F0E5B2AD}"/>
    <hyperlink ref="H17" location="Титульный!H9" tooltip="Помощь по работе с полями отчётной формы" display="Как заполнить?" xr:uid="{67D9671D-E0FC-4582-9CA3-849048178238}"/>
    <hyperlink ref="H39" location="Титульный!H9" tooltip="Помощь по работе с полями отчётной формы" display="Как заполнить?" xr:uid="{9C99A7CC-C826-4649-F788-566774BA1405}"/>
    <hyperlink ref="H62" location="Титульный!H9" tooltip="Помощь по работе с полями отчётной формы" display="Как заполнить?" xr:uid="{D5CD679C-0D25-31F3-0F41-2BCD6F318748}"/>
    <hyperlink ref="F70" r:id="rId1" xr:uid="{8B00B4C8-56A2-B2AA-4F25-7C2D2A801A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887AF-E57F-0BAA-D622-9DA78503ACD5}">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8" customWidth="1"/>
    <col min="53" max="53" width="10.5703125" style="11" hidden="1"/>
  </cols>
  <sheetData>
    <row r="1" spans="1:53" ht="22.5" hidden="1" customHeight="1">
      <c r="BA1" s="11" t="s">
        <v>14</v>
      </c>
    </row>
    <row r="2" spans="1:53" ht="21" hidden="1" customHeight="1">
      <c r="A2" s="769"/>
      <c r="B2" s="769"/>
      <c r="C2" s="769"/>
      <c r="D2" s="769"/>
      <c r="E2" s="1275">
        <v>1</v>
      </c>
      <c r="F2" s="769"/>
      <c r="G2" s="769"/>
      <c r="H2" s="769"/>
      <c r="I2" s="769"/>
      <c r="J2" s="769"/>
      <c r="K2" s="769"/>
      <c r="L2" s="770"/>
      <c r="M2" s="426"/>
      <c r="N2" s="426"/>
      <c r="O2" s="426"/>
      <c r="Q2" s="62"/>
      <c r="R2" s="207"/>
      <c r="S2" s="709" t="e">
        <f>INDEX(PT_DIFFERENTIATION_NUM_NTAR,MATCH(A2,PT_DIFFERENTIATION_NTAR_ID,0))</f>
        <v>#N/A</v>
      </c>
      <c r="T2" s="67" t="s">
        <v>129</v>
      </c>
      <c r="U2" s="171"/>
      <c r="V2" s="1270"/>
      <c r="W2" s="1270"/>
      <c r="X2" s="1270"/>
      <c r="Y2" s="1270"/>
      <c r="Z2" s="1270"/>
      <c r="AA2" s="1271"/>
      <c r="AB2" s="1269" t="e">
        <f>INDEX(PT_DIFFERENTIATION_NTAR,MATCH(A2,PT_DIFFERENTIATION_NTAR_ID,0))</f>
        <v>#N/A</v>
      </c>
      <c r="AC2" s="1270"/>
      <c r="AD2" s="1270"/>
      <c r="AE2" s="1270"/>
      <c r="AF2" s="1270"/>
      <c r="AG2" s="1270"/>
      <c r="AH2" s="1270"/>
      <c r="AI2" s="1270"/>
      <c r="AJ2" s="1270"/>
      <c r="AK2" s="1270"/>
      <c r="AL2" s="1270"/>
      <c r="AM2" s="1270"/>
      <c r="AN2" s="1270"/>
      <c r="AO2" s="1270"/>
      <c r="AP2" s="1270"/>
      <c r="AQ2" s="1270"/>
      <c r="AR2" s="1270"/>
      <c r="AS2" s="1270"/>
      <c r="AT2" s="1271"/>
      <c r="AU2" s="729" t="s">
        <v>400</v>
      </c>
      <c r="AW2" s="69"/>
      <c r="AX2" s="69" t="str">
        <f t="shared" ref="AX2:AX8" si="0">IF(T2="","",T2)</f>
        <v>Наименование тарифа</v>
      </c>
      <c r="AY2" s="69"/>
      <c r="AZ2" s="69"/>
      <c r="BA2" s="11">
        <v>0</v>
      </c>
    </row>
    <row r="3" spans="1:53" ht="21" hidden="1" customHeight="1">
      <c r="A3" s="769"/>
      <c r="B3" s="769"/>
      <c r="C3" s="769"/>
      <c r="D3" s="769"/>
      <c r="E3" s="1276"/>
      <c r="F3" s="1275">
        <v>1</v>
      </c>
      <c r="G3" s="769"/>
      <c r="H3" s="769"/>
      <c r="I3" s="769"/>
      <c r="J3" s="769"/>
      <c r="K3" s="769"/>
      <c r="L3" s="770"/>
      <c r="M3" s="426"/>
      <c r="N3" s="426"/>
      <c r="O3" s="426"/>
      <c r="P3" s="301"/>
      <c r="Q3" s="802"/>
      <c r="R3" s="205"/>
      <c r="S3" s="709" t="e">
        <f>INDEX(PT_DIFFERENTIATION_NUM_TER,MATCH(B3,PT_DIFFERENTIATION_TER_ID,0))</f>
        <v>#N/A</v>
      </c>
      <c r="T3" s="177" t="s">
        <v>401</v>
      </c>
      <c r="U3" s="171"/>
      <c r="V3" s="1270"/>
      <c r="W3" s="1270"/>
      <c r="X3" s="1270"/>
      <c r="Y3" s="1270"/>
      <c r="Z3" s="1270"/>
      <c r="AA3" s="1271"/>
      <c r="AB3" s="1269" t="e">
        <f>INDEX(PT_DIFFERENTIATION_TER,MATCH(B3,PT_DIFFERENTIATION_TER_ID,0))</f>
        <v>#N/A</v>
      </c>
      <c r="AC3" s="1270"/>
      <c r="AD3" s="1270"/>
      <c r="AE3" s="1270"/>
      <c r="AF3" s="1270"/>
      <c r="AG3" s="1270"/>
      <c r="AH3" s="1270"/>
      <c r="AI3" s="1270"/>
      <c r="AJ3" s="1270"/>
      <c r="AK3" s="1270"/>
      <c r="AL3" s="1270"/>
      <c r="AM3" s="1270"/>
      <c r="AN3" s="1270"/>
      <c r="AO3" s="1270"/>
      <c r="AP3" s="1270"/>
      <c r="AQ3" s="1270"/>
      <c r="AR3" s="1270"/>
      <c r="AS3" s="1270"/>
      <c r="AT3" s="1271"/>
      <c r="AU3" s="729" t="s">
        <v>402</v>
      </c>
      <c r="AW3" s="69"/>
      <c r="AX3" s="69" t="str">
        <f t="shared" si="0"/>
        <v>Территория действия тарифа</v>
      </c>
      <c r="AY3" s="69"/>
      <c r="AZ3" s="69"/>
      <c r="BA3" s="11">
        <v>0</v>
      </c>
    </row>
    <row r="4" spans="1:53" ht="22.5" hidden="1" customHeight="1">
      <c r="A4" s="769"/>
      <c r="B4" s="769"/>
      <c r="C4" s="769"/>
      <c r="D4" s="769"/>
      <c r="E4" s="1276"/>
      <c r="F4" s="1276"/>
      <c r="G4" s="1275">
        <v>1</v>
      </c>
      <c r="H4" s="769"/>
      <c r="I4" s="769"/>
      <c r="J4" s="769"/>
      <c r="K4" s="769"/>
      <c r="L4" s="770"/>
      <c r="M4" s="426"/>
      <c r="N4" s="426"/>
      <c r="O4" s="426"/>
      <c r="P4" s="131"/>
      <c r="Q4" s="802"/>
      <c r="R4" s="205"/>
      <c r="S4" s="709" t="e">
        <f>INDEX(PT_DIFFERENTIATION_NUM_CS,MATCH(C4,PT_DIFFERENTIATION_CS_ID,0))</f>
        <v>#N/A</v>
      </c>
      <c r="T4" s="178" t="s">
        <v>403</v>
      </c>
      <c r="U4" s="171"/>
      <c r="V4" s="1270"/>
      <c r="W4" s="1270"/>
      <c r="X4" s="1270"/>
      <c r="Y4" s="1270"/>
      <c r="Z4" s="1270"/>
      <c r="AA4" s="1271"/>
      <c r="AB4" s="1269" t="e">
        <f>INDEX(PT_DIFFERENTIATION_CS,MATCH(C4,PT_DIFFERENTIATION_CS_ID,0))</f>
        <v>#N/A</v>
      </c>
      <c r="AC4" s="1270"/>
      <c r="AD4" s="1270"/>
      <c r="AE4" s="1270"/>
      <c r="AF4" s="1270"/>
      <c r="AG4" s="1270"/>
      <c r="AH4" s="1270"/>
      <c r="AI4" s="1270"/>
      <c r="AJ4" s="1270"/>
      <c r="AK4" s="1270"/>
      <c r="AL4" s="1270"/>
      <c r="AM4" s="1270"/>
      <c r="AN4" s="1270"/>
      <c r="AO4" s="1270"/>
      <c r="AP4" s="1270"/>
      <c r="AQ4" s="1270"/>
      <c r="AR4" s="1270"/>
      <c r="AS4" s="1270"/>
      <c r="AT4" s="1271"/>
      <c r="AU4" s="729" t="s">
        <v>404</v>
      </c>
      <c r="AW4" s="69"/>
      <c r="AX4" s="69" t="str">
        <f t="shared" si="0"/>
        <v xml:space="preserve">Наименование системы теплоснабжения </v>
      </c>
      <c r="AY4" s="69"/>
      <c r="AZ4" s="69"/>
      <c r="BA4" s="11">
        <v>0</v>
      </c>
    </row>
    <row r="5" spans="1:53" ht="21" hidden="1" customHeight="1">
      <c r="A5" s="769"/>
      <c r="B5" s="769"/>
      <c r="C5" s="769"/>
      <c r="D5" s="769"/>
      <c r="E5" s="1276"/>
      <c r="F5" s="1276"/>
      <c r="G5" s="1276"/>
      <c r="H5" s="1275">
        <v>1</v>
      </c>
      <c r="I5" s="769"/>
      <c r="J5" s="769"/>
      <c r="K5" s="769"/>
      <c r="L5" s="770"/>
      <c r="M5" s="426"/>
      <c r="N5" s="426"/>
      <c r="O5" s="426"/>
      <c r="P5" s="131"/>
      <c r="Q5" s="802"/>
      <c r="R5" s="205"/>
      <c r="S5" s="709" t="e">
        <f>INDEX(PT_DIFFERENTIATION_NUM_IST_TE,MATCH(D5,PT_DIFFERENTIATION_IST_TE_ID,0))</f>
        <v>#N/A</v>
      </c>
      <c r="T5" s="179" t="s">
        <v>405</v>
      </c>
      <c r="U5" s="171"/>
      <c r="V5" s="1270"/>
      <c r="W5" s="1270"/>
      <c r="X5" s="1270"/>
      <c r="Y5" s="1270"/>
      <c r="Z5" s="1270"/>
      <c r="AA5" s="1271"/>
      <c r="AB5" s="1269" t="e">
        <f>INDEX(PT_DIFFERENTIATION_IST_TE,MATCH(D5,PT_DIFFERENTIATION_IST_TE_ID,0))</f>
        <v>#N/A</v>
      </c>
      <c r="AC5" s="1270"/>
      <c r="AD5" s="1270"/>
      <c r="AE5" s="1270"/>
      <c r="AF5" s="1270"/>
      <c r="AG5" s="1270"/>
      <c r="AH5" s="1270"/>
      <c r="AI5" s="1270"/>
      <c r="AJ5" s="1270"/>
      <c r="AK5" s="1270"/>
      <c r="AL5" s="1270"/>
      <c r="AM5" s="1270"/>
      <c r="AN5" s="1270"/>
      <c r="AO5" s="1270"/>
      <c r="AP5" s="1270"/>
      <c r="AQ5" s="1270"/>
      <c r="AR5" s="1270"/>
      <c r="AS5" s="1270"/>
      <c r="AT5" s="1271"/>
      <c r="AU5" s="729" t="s">
        <v>406</v>
      </c>
      <c r="AW5" s="69"/>
      <c r="AX5" s="69" t="str">
        <f t="shared" si="0"/>
        <v xml:space="preserve">Источник тепловой энергии  </v>
      </c>
      <c r="AY5" s="69"/>
      <c r="AZ5" s="69"/>
      <c r="BA5" s="11">
        <v>0</v>
      </c>
    </row>
    <row r="6" spans="1:53" s="68" customFormat="1" ht="0.75" hidden="1" customHeight="1">
      <c r="A6" s="145"/>
      <c r="B6" s="145"/>
      <c r="C6" s="145"/>
      <c r="D6" s="145"/>
      <c r="E6" s="1276"/>
      <c r="F6" s="1276"/>
      <c r="G6" s="1276"/>
      <c r="H6" s="1276"/>
      <c r="I6" s="1277" t="e">
        <f>S5&amp;".1"</f>
        <v>#N/A</v>
      </c>
      <c r="J6" s="145"/>
      <c r="K6" s="145"/>
      <c r="L6" s="346" t="s">
        <v>407</v>
      </c>
      <c r="M6" s="290"/>
      <c r="N6" s="290"/>
      <c r="O6" s="290"/>
      <c r="P6" s="1279">
        <v>1</v>
      </c>
      <c r="Q6" s="122"/>
      <c r="R6" s="208"/>
      <c r="S6" s="362"/>
      <c r="T6" s="779"/>
      <c r="U6" s="780"/>
      <c r="V6" s="1307"/>
      <c r="W6" s="1307"/>
      <c r="X6" s="1307"/>
      <c r="Y6" s="1307"/>
      <c r="Z6" s="1307"/>
      <c r="AA6" s="1308"/>
      <c r="AB6" s="1306"/>
      <c r="AC6" s="1307"/>
      <c r="AD6" s="1307"/>
      <c r="AE6" s="1307"/>
      <c r="AF6" s="1307"/>
      <c r="AG6" s="1307"/>
      <c r="AH6" s="1307"/>
      <c r="AI6" s="1307"/>
      <c r="AJ6" s="1307"/>
      <c r="AK6" s="1307"/>
      <c r="AL6" s="1307"/>
      <c r="AM6" s="1307"/>
      <c r="AN6" s="1307"/>
      <c r="AO6" s="1307"/>
      <c r="AP6" s="1307"/>
      <c r="AQ6" s="1307"/>
      <c r="AR6" s="1307"/>
      <c r="AS6" s="1307"/>
      <c r="AT6" s="1308"/>
      <c r="AU6" s="781"/>
      <c r="AW6" s="69"/>
      <c r="AX6" s="69" t="str">
        <f t="shared" si="0"/>
        <v/>
      </c>
      <c r="AY6" s="69"/>
      <c r="AZ6" s="69"/>
      <c r="BA6" s="68">
        <v>0</v>
      </c>
    </row>
    <row r="7" spans="1:53" s="68" customFormat="1" ht="0.75" hidden="1" customHeight="1">
      <c r="A7" s="145"/>
      <c r="B7" s="145"/>
      <c r="C7" s="145"/>
      <c r="D7" s="145"/>
      <c r="E7" s="1276"/>
      <c r="F7" s="1276"/>
      <c r="G7" s="1276"/>
      <c r="H7" s="1276"/>
      <c r="I7" s="1278"/>
      <c r="J7" s="1277" t="e">
        <f>S5&amp;".1"</f>
        <v>#N/A</v>
      </c>
      <c r="K7" s="145"/>
      <c r="L7" s="346"/>
      <c r="M7" s="290"/>
      <c r="N7" s="290"/>
      <c r="O7" s="290"/>
      <c r="P7" s="1279"/>
      <c r="Q7" s="1279">
        <v>1</v>
      </c>
      <c r="R7" s="209"/>
      <c r="S7" s="362"/>
      <c r="T7" s="794"/>
      <c r="U7" s="780"/>
      <c r="V7" s="1307"/>
      <c r="W7" s="1307"/>
      <c r="X7" s="1307"/>
      <c r="Y7" s="1307"/>
      <c r="Z7" s="1307"/>
      <c r="AA7" s="1308"/>
      <c r="AB7" s="1306"/>
      <c r="AC7" s="1307"/>
      <c r="AD7" s="1307"/>
      <c r="AE7" s="1307"/>
      <c r="AF7" s="1307"/>
      <c r="AG7" s="1307"/>
      <c r="AH7" s="1307"/>
      <c r="AI7" s="1307"/>
      <c r="AJ7" s="1307"/>
      <c r="AK7" s="1307"/>
      <c r="AL7" s="1307"/>
      <c r="AM7" s="1307"/>
      <c r="AN7" s="1307"/>
      <c r="AO7" s="1307"/>
      <c r="AP7" s="1307"/>
      <c r="AQ7" s="1307"/>
      <c r="AR7" s="1307"/>
      <c r="AS7" s="1307"/>
      <c r="AT7" s="1308"/>
      <c r="AU7" s="781"/>
      <c r="AW7" s="69"/>
      <c r="AX7" s="69" t="str">
        <f t="shared" si="0"/>
        <v/>
      </c>
      <c r="AY7" s="69"/>
      <c r="AZ7" s="69"/>
      <c r="BA7" s="68">
        <v>0</v>
      </c>
    </row>
    <row r="8" spans="1:53" ht="21" hidden="1" customHeight="1">
      <c r="A8" s="769"/>
      <c r="B8" s="769"/>
      <c r="C8" s="769"/>
      <c r="D8" s="769"/>
      <c r="E8" s="1276"/>
      <c r="F8" s="1276"/>
      <c r="G8" s="1276"/>
      <c r="H8" s="1276"/>
      <c r="I8" s="1278"/>
      <c r="J8" s="1278"/>
      <c r="K8" s="1277" t="e">
        <f>S5&amp;".1"</f>
        <v>#N/A</v>
      </c>
      <c r="L8" s="770"/>
      <c r="P8" s="1279"/>
      <c r="Q8" s="1279"/>
      <c r="R8" s="1335">
        <v>1</v>
      </c>
      <c r="S8" s="1332" t="e">
        <f>$K8</f>
        <v>#N/A</v>
      </c>
      <c r="T8" s="1329"/>
      <c r="U8" s="171"/>
      <c r="V8" s="306"/>
      <c r="W8" s="728"/>
      <c r="X8" s="1280"/>
      <c r="Y8" s="1158" t="s">
        <v>66</v>
      </c>
      <c r="Z8" s="1280"/>
      <c r="AA8" s="1158" t="s">
        <v>66</v>
      </c>
      <c r="AB8" s="1158" t="s">
        <v>19</v>
      </c>
      <c r="AC8" s="1328"/>
      <c r="AD8" s="1233">
        <v>1</v>
      </c>
      <c r="AE8" s="1342"/>
      <c r="AF8" s="1158" t="s">
        <v>19</v>
      </c>
      <c r="AG8" s="1328"/>
      <c r="AH8" s="1233">
        <v>1</v>
      </c>
      <c r="AI8" s="1342"/>
      <c r="AJ8" s="1158" t="s">
        <v>19</v>
      </c>
      <c r="AK8" s="180"/>
      <c r="AL8" s="268">
        <v>1</v>
      </c>
      <c r="AM8" s="619"/>
      <c r="AN8" s="306"/>
      <c r="AO8" s="728"/>
      <c r="AP8" s="943"/>
      <c r="AQ8" s="297" t="s">
        <v>66</v>
      </c>
      <c r="AR8" s="943"/>
      <c r="AS8" s="297" t="s">
        <v>66</v>
      </c>
      <c r="AT8" s="766"/>
      <c r="AU8" s="1298" t="s">
        <v>468</v>
      </c>
      <c r="AV8" s="68" t="e">
        <f ca="1">STRCHECKDATE(V11:AT11)</f>
        <v>#NAME?</v>
      </c>
      <c r="AW8" s="69"/>
      <c r="AX8" s="69" t="str">
        <f t="shared" si="0"/>
        <v/>
      </c>
      <c r="AY8" s="69"/>
      <c r="AZ8" s="69"/>
      <c r="BA8" s="11">
        <v>0</v>
      </c>
    </row>
    <row r="9" spans="1:53" ht="11.25" hidden="1" customHeight="1">
      <c r="A9" s="769"/>
      <c r="B9" s="769"/>
      <c r="C9" s="769"/>
      <c r="D9" s="769"/>
      <c r="E9" s="1276"/>
      <c r="F9" s="1276"/>
      <c r="G9" s="1276"/>
      <c r="H9" s="1276"/>
      <c r="I9" s="1278"/>
      <c r="J9" s="1278"/>
      <c r="K9" s="1277"/>
      <c r="L9" s="770"/>
      <c r="P9" s="1279"/>
      <c r="Q9" s="1279"/>
      <c r="R9" s="1335"/>
      <c r="S9" s="1333"/>
      <c r="T9" s="1330"/>
      <c r="U9" s="171"/>
      <c r="V9" s="789"/>
      <c r="W9" s="793"/>
      <c r="X9" s="1280"/>
      <c r="Y9" s="1158"/>
      <c r="Z9" s="1280"/>
      <c r="AA9" s="1158"/>
      <c r="AB9" s="1158"/>
      <c r="AC9" s="1328"/>
      <c r="AD9" s="1233"/>
      <c r="AE9" s="1342"/>
      <c r="AF9" s="1158"/>
      <c r="AG9" s="1328"/>
      <c r="AH9" s="1233"/>
      <c r="AI9" s="1342"/>
      <c r="AJ9" s="1158"/>
      <c r="AK9" s="184"/>
      <c r="AL9" s="52"/>
      <c r="AM9" s="110" t="s">
        <v>469</v>
      </c>
      <c r="AN9" s="789"/>
      <c r="AO9" s="819"/>
      <c r="AP9" s="789"/>
      <c r="AQ9" s="789"/>
      <c r="AR9" s="789"/>
      <c r="AS9" s="789"/>
      <c r="AT9" s="786"/>
      <c r="AU9" s="1299"/>
      <c r="AW9" s="69"/>
      <c r="AX9" s="69"/>
      <c r="AY9" s="69"/>
      <c r="AZ9" s="69"/>
      <c r="BA9" s="11">
        <v>0</v>
      </c>
    </row>
    <row r="10" spans="1:53" ht="11.25" hidden="1" customHeight="1">
      <c r="A10" s="769"/>
      <c r="B10" s="769"/>
      <c r="C10" s="769"/>
      <c r="D10" s="769"/>
      <c r="E10" s="1276"/>
      <c r="F10" s="1276"/>
      <c r="G10" s="1276"/>
      <c r="H10" s="1276"/>
      <c r="I10" s="1278"/>
      <c r="J10" s="1278"/>
      <c r="K10" s="1277"/>
      <c r="L10" s="770"/>
      <c r="P10" s="1279"/>
      <c r="Q10" s="1279"/>
      <c r="R10" s="1335"/>
      <c r="S10" s="1333"/>
      <c r="T10" s="1330"/>
      <c r="U10" s="171"/>
      <c r="V10" s="789"/>
      <c r="W10" s="793"/>
      <c r="X10" s="1280"/>
      <c r="Y10" s="1158"/>
      <c r="Z10" s="1280"/>
      <c r="AA10" s="1158"/>
      <c r="AB10" s="1158"/>
      <c r="AC10" s="1328"/>
      <c r="AD10" s="1233"/>
      <c r="AE10" s="1342"/>
      <c r="AF10" s="1158"/>
      <c r="AG10" s="169"/>
      <c r="AH10" s="110"/>
      <c r="AI10" s="110" t="s">
        <v>470</v>
      </c>
      <c r="AJ10" s="789"/>
      <c r="AK10" s="789"/>
      <c r="AL10" s="789"/>
      <c r="AM10" s="789"/>
      <c r="AN10" s="789"/>
      <c r="AO10" s="819"/>
      <c r="AP10" s="789"/>
      <c r="AQ10" s="789"/>
      <c r="AR10" s="789"/>
      <c r="AS10" s="789"/>
      <c r="AT10" s="786"/>
      <c r="AU10" s="1299"/>
      <c r="AW10" s="69"/>
      <c r="AX10" s="69"/>
      <c r="AY10" s="69"/>
      <c r="AZ10" s="69"/>
      <c r="BA10" s="11">
        <v>0</v>
      </c>
    </row>
    <row r="11" spans="1:53" ht="11.25" hidden="1" customHeight="1">
      <c r="A11" s="769"/>
      <c r="B11" s="769"/>
      <c r="C11" s="769"/>
      <c r="D11" s="769"/>
      <c r="E11" s="1276"/>
      <c r="F11" s="1276"/>
      <c r="G11" s="1276"/>
      <c r="H11" s="1276"/>
      <c r="I11" s="1278"/>
      <c r="J11" s="1278"/>
      <c r="K11" s="1277"/>
      <c r="L11" s="770"/>
      <c r="P11" s="1279"/>
      <c r="Q11" s="1279"/>
      <c r="R11" s="1335"/>
      <c r="S11" s="1334"/>
      <c r="T11" s="1331"/>
      <c r="U11" s="171"/>
      <c r="V11" s="789"/>
      <c r="W11" s="792" t="str">
        <f>X8&amp;"-"&amp;Z8</f>
        <v>-</v>
      </c>
      <c r="X11" s="1281"/>
      <c r="Y11" s="1158"/>
      <c r="Z11" s="1281"/>
      <c r="AA11" s="1158"/>
      <c r="AB11" s="1158"/>
      <c r="AC11" s="181"/>
      <c r="AD11" s="183"/>
      <c r="AE11" s="110" t="s">
        <v>471</v>
      </c>
      <c r="AF11" s="789"/>
      <c r="AG11" s="789"/>
      <c r="AH11" s="789"/>
      <c r="AI11" s="789"/>
      <c r="AJ11" s="789"/>
      <c r="AK11" s="789"/>
      <c r="AL11" s="789"/>
      <c r="AM11" s="789"/>
      <c r="AN11" s="789"/>
      <c r="AO11" s="790" t="str">
        <f>AP8&amp;"-"&amp;AR8</f>
        <v>-</v>
      </c>
      <c r="AP11" s="789"/>
      <c r="AQ11" s="789"/>
      <c r="AR11" s="789"/>
      <c r="AS11" s="789"/>
      <c r="AT11" s="767"/>
      <c r="AU11" s="1299"/>
      <c r="AW11" s="69"/>
      <c r="AX11" s="69" t="str">
        <f t="shared" ref="AX11:AX17" si="1">IF(T11="","",T11)</f>
        <v/>
      </c>
      <c r="AY11" s="69"/>
      <c r="AZ11" s="69"/>
      <c r="BA11" s="11">
        <v>0</v>
      </c>
    </row>
    <row r="12" spans="1:53" ht="11.25" hidden="1" customHeight="1">
      <c r="A12" s="769"/>
      <c r="B12" s="769"/>
      <c r="C12" s="769"/>
      <c r="D12" s="769"/>
      <c r="E12" s="1276"/>
      <c r="F12" s="1276"/>
      <c r="G12" s="1276"/>
      <c r="H12" s="1276"/>
      <c r="I12" s="1278"/>
      <c r="J12" s="1277"/>
      <c r="K12" s="769"/>
      <c r="L12" s="770"/>
      <c r="P12" s="1279"/>
      <c r="Q12" s="1279"/>
      <c r="R12" s="208"/>
      <c r="S12" s="742"/>
      <c r="T12" s="166" t="s">
        <v>472</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00"/>
      <c r="AW12" s="69"/>
      <c r="AX12" s="69" t="str">
        <f t="shared" si="1"/>
        <v>Добавить строку</v>
      </c>
      <c r="AY12" s="69"/>
      <c r="AZ12" s="69"/>
      <c r="BA12" s="11">
        <v>0</v>
      </c>
    </row>
    <row r="13" spans="1:53" s="68" customFormat="1" ht="0.75" hidden="1" customHeight="1">
      <c r="A13" s="145"/>
      <c r="B13" s="145"/>
      <c r="C13" s="145"/>
      <c r="D13" s="145"/>
      <c r="E13" s="1276"/>
      <c r="F13" s="1276"/>
      <c r="G13" s="1276"/>
      <c r="H13" s="1276"/>
      <c r="I13" s="1277"/>
      <c r="J13" s="145"/>
      <c r="K13" s="145"/>
      <c r="L13" s="346"/>
      <c r="M13" s="290"/>
      <c r="N13" s="290"/>
      <c r="O13" s="290"/>
      <c r="P13" s="1279"/>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76"/>
      <c r="F14" s="1276"/>
      <c r="G14" s="1276"/>
      <c r="H14" s="1275"/>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76"/>
      <c r="F15" s="1276"/>
      <c r="G15" s="1275"/>
      <c r="H15" s="145"/>
      <c r="I15" s="145"/>
      <c r="J15" s="145"/>
      <c r="K15" s="145"/>
      <c r="L15" s="346"/>
      <c r="M15" s="293"/>
      <c r="N15" s="293"/>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76"/>
      <c r="F16" s="1275"/>
      <c r="G16" s="145"/>
      <c r="H16" s="145"/>
      <c r="I16" s="145"/>
      <c r="J16" s="145"/>
      <c r="K16" s="145"/>
      <c r="L16" s="346"/>
      <c r="M16" s="759"/>
      <c r="N16" s="759"/>
      <c r="P16" s="104"/>
      <c r="Q16" s="755"/>
      <c r="R16" s="104"/>
      <c r="S16" s="760"/>
      <c r="T16" s="762" t="s">
        <v>419</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75"/>
      <c r="F17" s="145"/>
      <c r="G17" s="145"/>
      <c r="H17" s="145"/>
      <c r="I17" s="145"/>
      <c r="J17" s="145"/>
      <c r="K17" s="145"/>
      <c r="L17" s="346"/>
      <c r="M17" s="759"/>
      <c r="N17" s="759"/>
      <c r="P17" s="104"/>
      <c r="Q17" s="755"/>
      <c r="R17" s="104"/>
      <c r="S17" s="760"/>
      <c r="T17" s="762" t="s">
        <v>420</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66</v>
      </c>
      <c r="AR19" s="945"/>
      <c r="AS19" s="816" t="s">
        <v>66</v>
      </c>
      <c r="BA19" s="11">
        <v>0</v>
      </c>
    </row>
    <row r="20" spans="1:53" ht="14.25" hidden="1" customHeight="1">
      <c r="AV20" s="203"/>
      <c r="AW20" s="203"/>
      <c r="AX20" s="203"/>
      <c r="AY20" s="203"/>
      <c r="AZ20" s="203"/>
      <c r="BA20" s="11">
        <v>0</v>
      </c>
    </row>
    <row r="21" spans="1:53" ht="14.25" hidden="1" customHeight="1">
      <c r="O21" s="771" t="s">
        <v>421</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422</v>
      </c>
      <c r="P23" s="830"/>
      <c r="Q23" s="831"/>
      <c r="R23" s="831"/>
      <c r="Y23" s="829" t="s">
        <v>424</v>
      </c>
      <c r="AA23" s="829" t="s">
        <v>425</v>
      </c>
      <c r="AB23" s="829" t="s">
        <v>473</v>
      </c>
      <c r="AE23" s="829" t="s">
        <v>474</v>
      </c>
      <c r="AF23" s="829" t="s">
        <v>473</v>
      </c>
      <c r="AI23" s="829" t="s">
        <v>475</v>
      </c>
      <c r="AJ23" s="829" t="s">
        <v>473</v>
      </c>
      <c r="AM23" s="829" t="s">
        <v>476</v>
      </c>
      <c r="AQ23" s="829" t="s">
        <v>424</v>
      </c>
      <c r="AS23" s="829" t="s">
        <v>425</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65" customHeight="1">
      <c r="Q26" s="168"/>
      <c r="R26" s="28"/>
      <c r="S26" s="739"/>
      <c r="T26" s="10"/>
      <c r="U26" s="10"/>
      <c r="BA26" s="11">
        <v>14</v>
      </c>
    </row>
    <row r="27" spans="1:53" ht="27.4" customHeight="1">
      <c r="Q27" s="168"/>
      <c r="R27" s="28"/>
      <c r="S27" s="125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59"/>
      <c r="BA27" s="11">
        <v>26</v>
      </c>
    </row>
    <row r="28" spans="1:53" ht="14.65" customHeight="1">
      <c r="Q28" s="168"/>
      <c r="R28" s="28"/>
      <c r="S28" s="1229" t="str">
        <f>IF(org=0,"Не определено",org)</f>
        <v>ООО "Инженерные сети"</v>
      </c>
      <c r="T28" s="1229"/>
      <c r="U28" s="1229"/>
      <c r="V28" s="1229"/>
      <c r="W28" s="1229"/>
      <c r="X28" s="1229"/>
      <c r="Y28" s="1229"/>
      <c r="Z28" s="1229"/>
      <c r="AA28" s="1229"/>
      <c r="AB28" s="1229"/>
      <c r="AC28" s="1229"/>
      <c r="AD28" s="1229"/>
      <c r="AE28" s="1229"/>
      <c r="AF28" s="1229"/>
      <c r="AG28" s="1229"/>
      <c r="AH28" s="1229"/>
      <c r="AI28" s="1229"/>
      <c r="AJ28" s="1229"/>
      <c r="AK28" s="1229"/>
      <c r="AL28" s="1229"/>
      <c r="AM28" s="1229"/>
      <c r="AN28" s="1229"/>
      <c r="AO28" s="1229"/>
      <c r="AP28" s="1229"/>
      <c r="AQ28" s="1229"/>
      <c r="AR28" s="1229"/>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66" t="s">
        <v>42</v>
      </c>
      <c r="T30" s="1266"/>
      <c r="U30" s="773"/>
      <c r="V30" s="1268" t="str">
        <f>IF(TITLE_NAME_OR_PR_CHANGE="",IF(TITLE_NAME_OR_PR="","",TITLE_NAME_OR_PR),TITLE_NAME_OR_PR_CHANGE)</f>
        <v/>
      </c>
      <c r="W30" s="1268"/>
      <c r="X30" s="1268"/>
      <c r="Y30" s="1268"/>
      <c r="Z30" s="1268"/>
      <c r="AA30" s="11"/>
      <c r="AB30" s="1268" t="str">
        <f>IF(TITLE_NAME_OR_PR_CHANGE="",IF(TITLE_NAME_OR_PR="","",TITLE_NAME_OR_PR),TITLE_NAME_OR_PR_CHANGE)</f>
        <v/>
      </c>
      <c r="AC30" s="1268"/>
      <c r="AD30" s="1268"/>
      <c r="AE30" s="1268"/>
      <c r="AF30" s="1268"/>
      <c r="AG30" s="1268"/>
      <c r="AH30" s="1268"/>
      <c r="AI30" s="1268"/>
      <c r="AJ30" s="1268"/>
      <c r="AK30" s="1268"/>
      <c r="AL30" s="1268"/>
      <c r="AM30" s="1268"/>
      <c r="AN30" s="1268"/>
      <c r="AO30" s="1268"/>
      <c r="AP30" s="1268"/>
      <c r="AQ30" s="1268"/>
      <c r="AR30" s="1268"/>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66" t="s">
        <v>427</v>
      </c>
      <c r="T31" s="1266"/>
      <c r="U31" s="773"/>
      <c r="V31" s="1267" t="str">
        <f>IF(TITLE_DATE_PR_CHANGE="",IF(TITLE_DATE_PR="","",TITLE_DATE_PR),TITLE_DATE_PR_CHANGE)</f>
        <v/>
      </c>
      <c r="W31" s="1267"/>
      <c r="X31" s="1267"/>
      <c r="Y31" s="1267"/>
      <c r="Z31" s="1267"/>
      <c r="AA31" s="11"/>
      <c r="AB31" s="1267" t="str">
        <f>IF(TITLE_DATE_PR_CHANGE="",IF(TITLE_DATE_PR="","",TITLE_DATE_PR),TITLE_DATE_PR_CHANGE)</f>
        <v/>
      </c>
      <c r="AC31" s="1267"/>
      <c r="AD31" s="1267"/>
      <c r="AE31" s="1267"/>
      <c r="AF31" s="1267"/>
      <c r="AG31" s="1267"/>
      <c r="AH31" s="1267"/>
      <c r="AI31" s="1267"/>
      <c r="AJ31" s="1267"/>
      <c r="AK31" s="1267"/>
      <c r="AL31" s="1267"/>
      <c r="AM31" s="1267"/>
      <c r="AN31" s="1267"/>
      <c r="AO31" s="1267"/>
      <c r="AP31" s="1267"/>
      <c r="AQ31" s="1267"/>
      <c r="AR31" s="1267"/>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66" t="s">
        <v>428</v>
      </c>
      <c r="T32" s="1266"/>
      <c r="U32" s="773"/>
      <c r="V32" s="1268" t="str">
        <f>IF(TITLE_NUMBER_PR_CHANGE="",IF(TITLE_NUMBER_PR="","",TITLE_NUMBER_PR),TITLE_NUMBER_PR_CHANGE)</f>
        <v/>
      </c>
      <c r="W32" s="1268"/>
      <c r="X32" s="1268"/>
      <c r="Y32" s="1268"/>
      <c r="Z32" s="1268"/>
      <c r="AA32" s="11"/>
      <c r="AB32" s="1268" t="str">
        <f>IF(TITLE_NUMBER_PR_CHANGE="",IF(TITLE_NUMBER_PR="","",TITLE_NUMBER_PR),TITLE_NUMBER_PR_CHANGE)</f>
        <v/>
      </c>
      <c r="AC32" s="1268"/>
      <c r="AD32" s="1268"/>
      <c r="AE32" s="1268"/>
      <c r="AF32" s="1268"/>
      <c r="AG32" s="1268"/>
      <c r="AH32" s="1268"/>
      <c r="AI32" s="1268"/>
      <c r="AJ32" s="1268"/>
      <c r="AK32" s="1268"/>
      <c r="AL32" s="1268"/>
      <c r="AM32" s="1268"/>
      <c r="AN32" s="1268"/>
      <c r="AO32" s="1268"/>
      <c r="AP32" s="1268"/>
      <c r="AQ32" s="1268"/>
      <c r="AR32" s="1268"/>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66" t="s">
        <v>43</v>
      </c>
      <c r="T33" s="1266"/>
      <c r="U33" s="773"/>
      <c r="V33" s="1268" t="str">
        <f>IF(TITLE_IST_PUB_CHANGE="",IF(TITLE_IST_PUB="","",TITLE_IST_PUB),TITLE_IST_PUB_CHANGE)</f>
        <v/>
      </c>
      <c r="W33" s="1268"/>
      <c r="X33" s="1268"/>
      <c r="Y33" s="1268"/>
      <c r="Z33" s="1268"/>
      <c r="AA33" s="11"/>
      <c r="AB33" s="1268" t="str">
        <f>IF(TITLE_IST_PUB_CHANGE="",IF(TITLE_IST_PUB="","",TITLE_IST_PUB),TITLE_IST_PUB_CHANGE)</f>
        <v/>
      </c>
      <c r="AC33" s="1268"/>
      <c r="AD33" s="1268"/>
      <c r="AE33" s="1268"/>
      <c r="AF33" s="1268"/>
      <c r="AG33" s="1268"/>
      <c r="AH33" s="1268"/>
      <c r="AI33" s="1268"/>
      <c r="AJ33" s="1268"/>
      <c r="AK33" s="1268"/>
      <c r="AL33" s="1268"/>
      <c r="AM33" s="1268"/>
      <c r="AN33" s="1268"/>
      <c r="AO33" s="1268"/>
      <c r="AP33" s="1268"/>
      <c r="AQ33" s="1268"/>
      <c r="AR33" s="1268"/>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66" t="s">
        <v>427</v>
      </c>
      <c r="T35" s="1266"/>
      <c r="U35" s="773"/>
      <c r="V35" s="1267" t="str">
        <f>IF(TITLE_DATE_PR_CHANGE="",IF(TITLE_DATE_PR="","",TITLE_DATE_PR),TITLE_DATE_PR_CHANGE)</f>
        <v/>
      </c>
      <c r="W35" s="1267"/>
      <c r="X35" s="1267"/>
      <c r="Y35" s="1267"/>
      <c r="Z35" s="1267"/>
      <c r="AA35" s="11"/>
      <c r="AB35" s="1267" t="str">
        <f>IF(TITLE_DATE_PR_CHANGE="",IF(TITLE_DATE_PR="","",TITLE_DATE_PR),TITLE_DATE_PR_CHANGE)</f>
        <v/>
      </c>
      <c r="AC35" s="1267"/>
      <c r="AD35" s="1267"/>
      <c r="AE35" s="1267"/>
      <c r="AF35" s="1267"/>
      <c r="AG35" s="1267"/>
      <c r="AH35" s="1267"/>
      <c r="AI35" s="1267"/>
      <c r="AJ35" s="1267"/>
      <c r="AK35" s="1267"/>
      <c r="AL35" s="1267"/>
      <c r="AM35" s="1267"/>
      <c r="AN35" s="1267"/>
      <c r="AO35" s="1267"/>
      <c r="AP35" s="1267"/>
      <c r="AQ35" s="1267"/>
      <c r="AR35" s="1267"/>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66" t="s">
        <v>428</v>
      </c>
      <c r="T36" s="1266"/>
      <c r="U36" s="773"/>
      <c r="V36" s="1268" t="str">
        <f>IF(TITLE_NUMBER_PR_CHANGE="",IF(TITLE_NUMBER_PR="","",TITLE_NUMBER_PR),TITLE_NUMBER_PR_CHANGE)</f>
        <v/>
      </c>
      <c r="W36" s="1268"/>
      <c r="X36" s="1268"/>
      <c r="Y36" s="1268"/>
      <c r="Z36" s="1268"/>
      <c r="AA36" s="11"/>
      <c r="AB36" s="1268" t="str">
        <f>IF(TITLE_NUMBER_PR_CHANGE="",IF(TITLE_NUMBER_PR="","",TITLE_NUMBER_PR),TITLE_NUMBER_PR_CHANGE)</f>
        <v/>
      </c>
      <c r="AC36" s="1268"/>
      <c r="AD36" s="1268"/>
      <c r="AE36" s="1268"/>
      <c r="AF36" s="1268"/>
      <c r="AG36" s="1268"/>
      <c r="AH36" s="1268"/>
      <c r="AI36" s="1268"/>
      <c r="AJ36" s="1268"/>
      <c r="AK36" s="1268"/>
      <c r="AL36" s="1268"/>
      <c r="AM36" s="1268"/>
      <c r="AN36" s="1268"/>
      <c r="AO36" s="1268"/>
      <c r="AP36" s="1268"/>
      <c r="AQ36" s="1268"/>
      <c r="AR36" s="1268"/>
      <c r="AS36" s="11"/>
      <c r="AT36" s="11"/>
      <c r="AU36" s="163"/>
      <c r="AV36" s="69"/>
      <c r="AW36" s="69"/>
      <c r="AX36" s="69"/>
      <c r="AY36" s="69"/>
      <c r="AZ36" s="69"/>
      <c r="BA36" s="35">
        <v>0</v>
      </c>
    </row>
    <row r="37" spans="1:53" s="35" customFormat="1" ht="1.1499999999999999"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431</v>
      </c>
      <c r="AB37" s="11"/>
      <c r="AC37" s="11"/>
      <c r="AD37" s="11"/>
      <c r="AE37" s="11"/>
      <c r="AF37" s="11"/>
      <c r="AG37" s="11"/>
      <c r="AH37" s="11"/>
      <c r="AI37" s="11"/>
      <c r="AJ37" s="11"/>
      <c r="AK37" s="11"/>
      <c r="AL37" s="11"/>
      <c r="AM37" s="11"/>
      <c r="AN37" s="11"/>
      <c r="AO37" s="11"/>
      <c r="AP37" s="11"/>
      <c r="AQ37" s="11"/>
      <c r="AR37" s="11"/>
      <c r="AS37" s="68" t="s">
        <v>431</v>
      </c>
      <c r="AV37" s="69"/>
      <c r="AW37" s="69"/>
      <c r="AX37" s="69"/>
      <c r="AY37" s="69"/>
      <c r="AZ37" s="69"/>
      <c r="BA37" s="35">
        <v>1</v>
      </c>
    </row>
    <row r="38" spans="1:53" ht="14.65" customHeight="1">
      <c r="Q38" s="168"/>
      <c r="R38" s="28"/>
      <c r="S38" s="739"/>
      <c r="T38" s="10"/>
      <c r="U38" s="720"/>
      <c r="V38" s="1287"/>
      <c r="W38" s="1287"/>
      <c r="X38" s="1287"/>
      <c r="Y38" s="1287"/>
      <c r="Z38" s="1287"/>
      <c r="AA38" s="1287"/>
      <c r="AB38" s="1287"/>
      <c r="AC38" s="1287"/>
      <c r="AD38" s="1287"/>
      <c r="AE38" s="1287"/>
      <c r="AF38" s="1287"/>
      <c r="AG38" s="1287"/>
      <c r="AH38" s="1287"/>
      <c r="AI38" s="1287"/>
      <c r="AJ38" s="1287"/>
      <c r="AK38" s="1287"/>
      <c r="AL38" s="1287"/>
      <c r="AM38" s="1287"/>
      <c r="AN38" s="1287"/>
      <c r="AO38" s="1287"/>
      <c r="AP38" s="1287"/>
      <c r="AQ38" s="1287"/>
      <c r="AR38" s="1287"/>
      <c r="AS38" s="1287"/>
      <c r="BA38" s="11">
        <v>14</v>
      </c>
    </row>
    <row r="39" spans="1:53" ht="14.65" customHeight="1">
      <c r="Q39" s="168"/>
      <c r="R39" s="28"/>
      <c r="S39" s="1148" t="s">
        <v>304</v>
      </c>
      <c r="T39" s="1148"/>
      <c r="U39" s="1148"/>
      <c r="V39" s="1148"/>
      <c r="W39" s="1148"/>
      <c r="X39" s="1148"/>
      <c r="Y39" s="1148"/>
      <c r="Z39" s="1148"/>
      <c r="AA39" s="1148"/>
      <c r="AB39" s="1207"/>
      <c r="AC39" s="1207"/>
      <c r="AD39" s="1207"/>
      <c r="AE39" s="1207"/>
      <c r="AF39" s="1148"/>
      <c r="AG39" s="1148"/>
      <c r="AH39" s="1148"/>
      <c r="AI39" s="1148"/>
      <c r="AJ39" s="1148"/>
      <c r="AK39" s="1148"/>
      <c r="AL39" s="1148"/>
      <c r="AM39" s="1148"/>
      <c r="AN39" s="1148"/>
      <c r="AO39" s="1148"/>
      <c r="AP39" s="1148"/>
      <c r="AQ39" s="1148"/>
      <c r="AR39" s="1148"/>
      <c r="AS39" s="1148"/>
      <c r="AT39" s="1148"/>
      <c r="AU39" s="1148" t="s">
        <v>305</v>
      </c>
      <c r="BA39" s="11">
        <v>14</v>
      </c>
    </row>
    <row r="40" spans="1:53" ht="14.65" customHeight="1">
      <c r="Q40" s="168"/>
      <c r="R40" s="28"/>
      <c r="S40" s="1288" t="s">
        <v>88</v>
      </c>
      <c r="T40" s="1237" t="s">
        <v>477</v>
      </c>
      <c r="U40" s="172"/>
      <c r="V40" s="1290"/>
      <c r="W40" s="1290"/>
      <c r="X40" s="1290"/>
      <c r="Y40" s="1290"/>
      <c r="Z40" s="1291"/>
      <c r="AA40" s="1337" t="s">
        <v>434</v>
      </c>
      <c r="AB40" s="1321" t="s">
        <v>478</v>
      </c>
      <c r="AC40" s="1305"/>
      <c r="AD40" s="1305"/>
      <c r="AE40" s="1322"/>
      <c r="AF40" s="1305" t="s">
        <v>479</v>
      </c>
      <c r="AG40" s="1305"/>
      <c r="AH40" s="1305"/>
      <c r="AI40" s="1322"/>
      <c r="AJ40" s="1321" t="s">
        <v>480</v>
      </c>
      <c r="AK40" s="1305"/>
      <c r="AL40" s="1305"/>
      <c r="AM40" s="1322"/>
      <c r="AN40" s="1321" t="s">
        <v>433</v>
      </c>
      <c r="AO40" s="1305"/>
      <c r="AP40" s="1290"/>
      <c r="AQ40" s="1290"/>
      <c r="AR40" s="1291"/>
      <c r="AS40" s="1292" t="s">
        <v>434</v>
      </c>
      <c r="AT40" s="1295" t="s">
        <v>436</v>
      </c>
      <c r="AU40" s="1148"/>
      <c r="BA40" s="11">
        <v>14</v>
      </c>
    </row>
    <row r="41" spans="1:53" ht="35.65" customHeight="1">
      <c r="Q41" s="168"/>
      <c r="R41" s="28"/>
      <c r="S41" s="1288"/>
      <c r="T41" s="1237"/>
      <c r="U41" s="607"/>
      <c r="V41" s="1148" t="s">
        <v>481</v>
      </c>
      <c r="W41" s="1148"/>
      <c r="X41" s="1208" t="s">
        <v>440</v>
      </c>
      <c r="Y41" s="1317"/>
      <c r="Z41" s="1209"/>
      <c r="AA41" s="1338"/>
      <c r="AB41" s="1323"/>
      <c r="AC41" s="1324"/>
      <c r="AD41" s="1324"/>
      <c r="AE41" s="1336"/>
      <c r="AF41" s="1324"/>
      <c r="AG41" s="1324"/>
      <c r="AH41" s="1324"/>
      <c r="AI41" s="1336"/>
      <c r="AJ41" s="1323"/>
      <c r="AK41" s="1324"/>
      <c r="AL41" s="1324"/>
      <c r="AM41" s="1324"/>
      <c r="AN41" s="1148" t="s">
        <v>481</v>
      </c>
      <c r="AO41" s="1148"/>
      <c r="AP41" s="1317" t="s">
        <v>440</v>
      </c>
      <c r="AQ41" s="1317"/>
      <c r="AR41" s="1209"/>
      <c r="AS41" s="1293"/>
      <c r="AT41" s="1296"/>
      <c r="AU41" s="1148"/>
      <c r="BA41" s="11">
        <v>34</v>
      </c>
    </row>
    <row r="42" spans="1:53" ht="14.65" customHeight="1">
      <c r="Q42" s="168"/>
      <c r="R42" s="28"/>
      <c r="S42" s="1288"/>
      <c r="T42" s="1237"/>
      <c r="U42" s="607"/>
      <c r="V42" s="1341" t="str">
        <f>IF($AN$42&lt;&gt;"",$AN$42,"")</f>
        <v/>
      </c>
      <c r="W42" s="1341"/>
      <c r="X42" s="1213"/>
      <c r="Y42" s="1318"/>
      <c r="Z42" s="1214"/>
      <c r="AA42" s="1338"/>
      <c r="AB42" s="1323"/>
      <c r="AC42" s="1324"/>
      <c r="AD42" s="1324"/>
      <c r="AE42" s="1336"/>
      <c r="AF42" s="1324"/>
      <c r="AG42" s="1324"/>
      <c r="AH42" s="1324"/>
      <c r="AI42" s="1336"/>
      <c r="AJ42" s="1323"/>
      <c r="AK42" s="1324"/>
      <c r="AL42" s="1324"/>
      <c r="AM42" s="1324"/>
      <c r="AN42" s="1340"/>
      <c r="AO42" s="1340"/>
      <c r="AP42" s="1318"/>
      <c r="AQ42" s="1318"/>
      <c r="AR42" s="1214"/>
      <c r="AS42" s="1293"/>
      <c r="AT42" s="1296"/>
      <c r="AU42" s="1148"/>
      <c r="BA42" s="11">
        <v>14</v>
      </c>
    </row>
    <row r="43" spans="1:53" ht="14.65" customHeight="1">
      <c r="A43" s="82"/>
      <c r="B43" s="82" t="s">
        <v>141</v>
      </c>
      <c r="C43" s="82" t="s">
        <v>142</v>
      </c>
      <c r="D43" s="82" t="s">
        <v>143</v>
      </c>
      <c r="E43" s="770" t="s">
        <v>441</v>
      </c>
      <c r="F43" s="770" t="s">
        <v>442</v>
      </c>
      <c r="G43" s="770" t="s">
        <v>443</v>
      </c>
      <c r="H43" s="770" t="s">
        <v>444</v>
      </c>
      <c r="I43" s="770" t="s">
        <v>445</v>
      </c>
      <c r="J43" s="770" t="s">
        <v>446</v>
      </c>
      <c r="K43" s="770" t="s">
        <v>447</v>
      </c>
      <c r="L43" s="770" t="s">
        <v>422</v>
      </c>
      <c r="Q43" s="168"/>
      <c r="R43" s="28"/>
      <c r="S43" s="1288"/>
      <c r="T43" s="1237"/>
      <c r="U43" s="173"/>
      <c r="V43" s="36" t="s">
        <v>482</v>
      </c>
      <c r="W43" s="36" t="s">
        <v>483</v>
      </c>
      <c r="X43" s="39" t="s">
        <v>450</v>
      </c>
      <c r="Y43" s="1242" t="s">
        <v>451</v>
      </c>
      <c r="Z43" s="1255"/>
      <c r="AA43" s="1339"/>
      <c r="AB43" s="1325"/>
      <c r="AC43" s="1326"/>
      <c r="AD43" s="1326"/>
      <c r="AE43" s="1327"/>
      <c r="AF43" s="1326"/>
      <c r="AG43" s="1326"/>
      <c r="AH43" s="1326"/>
      <c r="AI43" s="1327"/>
      <c r="AJ43" s="1325"/>
      <c r="AK43" s="1326"/>
      <c r="AL43" s="1326"/>
      <c r="AM43" s="1327"/>
      <c r="AN43" s="1005" t="s">
        <v>482</v>
      </c>
      <c r="AO43" s="1005" t="s">
        <v>483</v>
      </c>
      <c r="AP43" s="39" t="s">
        <v>450</v>
      </c>
      <c r="AQ43" s="1242" t="s">
        <v>451</v>
      </c>
      <c r="AR43" s="1255"/>
      <c r="AS43" s="1294"/>
      <c r="AT43" s="1297"/>
      <c r="AU43" s="1148"/>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115</v>
      </c>
      <c r="T44" s="726" t="s">
        <v>103</v>
      </c>
      <c r="U44" s="721" t="str">
        <f ca="1">OFFSET(U44,0,-1)</f>
        <v>2</v>
      </c>
      <c r="V44" s="727">
        <f ca="1">OFFSET(V44,0,-1)+1</f>
        <v>3</v>
      </c>
      <c r="W44" s="727">
        <f ca="1">OFFSET(W44,0,-1)+1</f>
        <v>4</v>
      </c>
      <c r="X44" s="727">
        <f ca="1">OFFSET(X44,0,-1)+1</f>
        <v>5</v>
      </c>
      <c r="Y44" s="1286">
        <f ca="1">OFFSET(Y44,0,-1)+1</f>
        <v>6</v>
      </c>
      <c r="Z44" s="1286"/>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286">
        <f ca="1">OFFSET(AQ44,0,-1)+1</f>
        <v>4</v>
      </c>
      <c r="AR44" s="1286"/>
      <c r="AS44" s="727">
        <f ca="1">OFFSET(AS44,0,-2)+1</f>
        <v>5</v>
      </c>
      <c r="AT44" s="721">
        <f ca="1">OFFSET(AT44,0,-1)</f>
        <v>5</v>
      </c>
      <c r="AU44" s="727">
        <f ca="1">OFFSET(AU44,0,-1)+1</f>
        <v>6</v>
      </c>
      <c r="AV44" s="68"/>
      <c r="AW44" s="68"/>
      <c r="AX44" s="68"/>
      <c r="AY44" s="68"/>
      <c r="AZ44" s="68"/>
      <c r="BA44" s="203">
        <v>0</v>
      </c>
    </row>
    <row r="45" spans="1:53" ht="107.25" customHeight="1">
      <c r="A45" s="769" t="s">
        <v>204</v>
      </c>
      <c r="B45" s="769"/>
      <c r="C45" s="769"/>
      <c r="D45" s="769"/>
      <c r="E45" s="1275">
        <v>1</v>
      </c>
      <c r="F45" s="769"/>
      <c r="G45" s="769"/>
      <c r="H45" s="769"/>
      <c r="I45" s="769"/>
      <c r="J45" s="769"/>
      <c r="K45" s="769"/>
      <c r="L45" s="770"/>
      <c r="M45" s="426"/>
      <c r="N45" s="426"/>
      <c r="O45" s="426"/>
      <c r="Q45" s="62"/>
      <c r="R45" s="207"/>
      <c r="S45" s="709">
        <f>INDEX(PT_DIFFERENTIATION_NUM_NTAR,MATCH(A45,PT_DIFFERENTIATION_NTAR_ID,0))</f>
        <v>0</v>
      </c>
      <c r="T45" s="67" t="s">
        <v>129</v>
      </c>
      <c r="U45" s="171"/>
      <c r="V45" s="1270"/>
      <c r="W45" s="1270"/>
      <c r="X45" s="1270"/>
      <c r="Y45" s="1270"/>
      <c r="Z45" s="1270"/>
      <c r="AA45" s="1271"/>
      <c r="AB45" s="1269" t="str">
        <f>INDEX(PT_DIFFERENTIATION_NTAR,MATCH(A45,PT_DIFFERENTIATION_NTAR_ID,0))</f>
        <v/>
      </c>
      <c r="AC45" s="1270"/>
      <c r="AD45" s="1270"/>
      <c r="AE45" s="1270"/>
      <c r="AF45" s="1270"/>
      <c r="AG45" s="1270"/>
      <c r="AH45" s="1270"/>
      <c r="AI45" s="1270"/>
      <c r="AJ45" s="1270"/>
      <c r="AK45" s="1270"/>
      <c r="AL45" s="1270"/>
      <c r="AM45" s="1270"/>
      <c r="AN45" s="1270"/>
      <c r="AO45" s="1270"/>
      <c r="AP45" s="1270"/>
      <c r="AQ45" s="1270"/>
      <c r="AR45" s="1270"/>
      <c r="AS45" s="1270"/>
      <c r="AT45" s="1271"/>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1.95" customHeight="1">
      <c r="A46" s="769" t="s">
        <v>204</v>
      </c>
      <c r="B46" s="769" t="s">
        <v>205</v>
      </c>
      <c r="C46" s="769"/>
      <c r="D46" s="769"/>
      <c r="E46" s="1276"/>
      <c r="F46" s="1275">
        <v>1</v>
      </c>
      <c r="G46" s="769"/>
      <c r="H46" s="769"/>
      <c r="I46" s="769"/>
      <c r="J46" s="769"/>
      <c r="K46" s="769"/>
      <c r="L46" s="770"/>
      <c r="M46" s="426"/>
      <c r="N46" s="426"/>
      <c r="O46" s="426"/>
      <c r="P46" s="301"/>
      <c r="Q46" s="802"/>
      <c r="R46" s="205"/>
      <c r="S46" s="709" t="str">
        <f>INDEX(PT_DIFFERENTIATION_NUM_TER,MATCH(B46,PT_DIFFERENTIATION_TER_ID,0))</f>
        <v>.</v>
      </c>
      <c r="T46" s="177" t="s">
        <v>401</v>
      </c>
      <c r="U46" s="171"/>
      <c r="V46" s="1270"/>
      <c r="W46" s="1270"/>
      <c r="X46" s="1270"/>
      <c r="Y46" s="1270"/>
      <c r="Z46" s="1270"/>
      <c r="AA46" s="1271"/>
      <c r="AB46" s="1269" t="str">
        <f>INDEX(PT_DIFFERENTIATION_TER,MATCH(B46,PT_DIFFERENTIATION_TER_ID,0))</f>
        <v/>
      </c>
      <c r="AC46" s="1270"/>
      <c r="AD46" s="1270"/>
      <c r="AE46" s="1270"/>
      <c r="AF46" s="1270"/>
      <c r="AG46" s="1270"/>
      <c r="AH46" s="1270"/>
      <c r="AI46" s="1270"/>
      <c r="AJ46" s="1270"/>
      <c r="AK46" s="1270"/>
      <c r="AL46" s="1270"/>
      <c r="AM46" s="1270"/>
      <c r="AN46" s="1270"/>
      <c r="AO46" s="1270"/>
      <c r="AP46" s="1270"/>
      <c r="AQ46" s="1270"/>
      <c r="AR46" s="1270"/>
      <c r="AS46" s="1270"/>
      <c r="AT46" s="1271"/>
      <c r="AU46" s="729" t="s">
        <v>402</v>
      </c>
      <c r="AW46" s="69"/>
      <c r="AX46" s="69" t="str">
        <f t="shared" si="2"/>
        <v>Территория действия тарифа</v>
      </c>
      <c r="AY46" s="69"/>
      <c r="AZ46" s="69"/>
      <c r="BA46" s="11">
        <v>21</v>
      </c>
    </row>
    <row r="47" spans="1:53" ht="24" customHeight="1">
      <c r="A47" s="769" t="s">
        <v>204</v>
      </c>
      <c r="B47" s="769" t="s">
        <v>205</v>
      </c>
      <c r="C47" s="769" t="s">
        <v>206</v>
      </c>
      <c r="D47" s="769"/>
      <c r="E47" s="1276"/>
      <c r="F47" s="1276"/>
      <c r="G47" s="1275">
        <v>1</v>
      </c>
      <c r="H47" s="769"/>
      <c r="I47" s="769"/>
      <c r="J47" s="769"/>
      <c r="K47" s="769"/>
      <c r="L47" s="770"/>
      <c r="M47" s="426"/>
      <c r="N47" s="426"/>
      <c r="O47" s="426"/>
      <c r="P47" s="131"/>
      <c r="Q47" s="802"/>
      <c r="R47" s="205"/>
      <c r="S47" s="709" t="str">
        <f>INDEX(PT_DIFFERENTIATION_NUM_CS,MATCH(C47,PT_DIFFERENTIATION_CS_ID,0))</f>
        <v>..</v>
      </c>
      <c r="T47" s="178" t="s">
        <v>403</v>
      </c>
      <c r="U47" s="171"/>
      <c r="V47" s="1270"/>
      <c r="W47" s="1270"/>
      <c r="X47" s="1270"/>
      <c r="Y47" s="1270"/>
      <c r="Z47" s="1270"/>
      <c r="AA47" s="1271"/>
      <c r="AB47" s="1269" t="str">
        <f>INDEX(PT_DIFFERENTIATION_CS,MATCH(C47,PT_DIFFERENTIATION_CS_ID,0))</f>
        <v/>
      </c>
      <c r="AC47" s="1270"/>
      <c r="AD47" s="1270"/>
      <c r="AE47" s="1270"/>
      <c r="AF47" s="1270"/>
      <c r="AG47" s="1270"/>
      <c r="AH47" s="1270"/>
      <c r="AI47" s="1270"/>
      <c r="AJ47" s="1270"/>
      <c r="AK47" s="1270"/>
      <c r="AL47" s="1270"/>
      <c r="AM47" s="1270"/>
      <c r="AN47" s="1270"/>
      <c r="AO47" s="1270"/>
      <c r="AP47" s="1270"/>
      <c r="AQ47" s="1270"/>
      <c r="AR47" s="1270"/>
      <c r="AS47" s="1270"/>
      <c r="AT47" s="1271"/>
      <c r="AU47" s="729" t="s">
        <v>404</v>
      </c>
      <c r="AW47" s="69"/>
      <c r="AX47" s="69" t="str">
        <f t="shared" si="2"/>
        <v xml:space="preserve">Наименование системы теплоснабжения </v>
      </c>
      <c r="AY47" s="69"/>
      <c r="AZ47" s="69"/>
      <c r="BA47" s="11">
        <v>23</v>
      </c>
    </row>
    <row r="48" spans="1:53" ht="21" customHeight="1">
      <c r="A48" s="769" t="s">
        <v>204</v>
      </c>
      <c r="B48" s="769" t="s">
        <v>205</v>
      </c>
      <c r="C48" s="769" t="s">
        <v>206</v>
      </c>
      <c r="D48" s="769" t="s">
        <v>207</v>
      </c>
      <c r="E48" s="1276"/>
      <c r="F48" s="1276"/>
      <c r="G48" s="1276"/>
      <c r="H48" s="1275">
        <v>1</v>
      </c>
      <c r="I48" s="769"/>
      <c r="J48" s="769"/>
      <c r="K48" s="769"/>
      <c r="L48" s="770"/>
      <c r="M48" s="426"/>
      <c r="N48" s="426"/>
      <c r="O48" s="426"/>
      <c r="P48" s="131"/>
      <c r="Q48" s="802"/>
      <c r="R48" s="205"/>
      <c r="S48" s="709" t="str">
        <f>INDEX(PT_DIFFERENTIATION_NUM_IST_TE,MATCH(D48,PT_DIFFERENTIATION_IST_TE_ID,0))</f>
        <v>...</v>
      </c>
      <c r="T48" s="179" t="s">
        <v>405</v>
      </c>
      <c r="U48" s="171"/>
      <c r="V48" s="1270"/>
      <c r="W48" s="1270"/>
      <c r="X48" s="1270"/>
      <c r="Y48" s="1270"/>
      <c r="Z48" s="1270"/>
      <c r="AA48" s="1271"/>
      <c r="AB48" s="1269" t="str">
        <f>INDEX(PT_DIFFERENTIATION_IST_TE,MATCH(D48,PT_DIFFERENTIATION_IST_TE_ID,0))</f>
        <v/>
      </c>
      <c r="AC48" s="1270"/>
      <c r="AD48" s="1270"/>
      <c r="AE48" s="1270"/>
      <c r="AF48" s="1270"/>
      <c r="AG48" s="1270"/>
      <c r="AH48" s="1270"/>
      <c r="AI48" s="1270"/>
      <c r="AJ48" s="1270"/>
      <c r="AK48" s="1270"/>
      <c r="AL48" s="1270"/>
      <c r="AM48" s="1270"/>
      <c r="AN48" s="1270"/>
      <c r="AO48" s="1270"/>
      <c r="AP48" s="1270"/>
      <c r="AQ48" s="1270"/>
      <c r="AR48" s="1270"/>
      <c r="AS48" s="1270"/>
      <c r="AT48" s="1271"/>
      <c r="AU48" s="729" t="s">
        <v>406</v>
      </c>
      <c r="AW48" s="69"/>
      <c r="AX48" s="69" t="str">
        <f t="shared" si="2"/>
        <v xml:space="preserve">Источник тепловой энергии  </v>
      </c>
      <c r="AY48" s="69"/>
      <c r="AZ48" s="69"/>
      <c r="BA48" s="11">
        <v>20</v>
      </c>
    </row>
    <row r="49" spans="1:53" s="68" customFormat="1" ht="1.1499999999999999" customHeight="1">
      <c r="A49" s="145" t="s">
        <v>204</v>
      </c>
      <c r="B49" s="145" t="s">
        <v>205</v>
      </c>
      <c r="C49" s="145" t="s">
        <v>206</v>
      </c>
      <c r="D49" s="145" t="s">
        <v>207</v>
      </c>
      <c r="E49" s="1276"/>
      <c r="F49" s="1276"/>
      <c r="G49" s="1276"/>
      <c r="H49" s="1276"/>
      <c r="I49" s="1277" t="str">
        <f>S48&amp;".1"</f>
        <v>....1</v>
      </c>
      <c r="J49" s="145"/>
      <c r="K49" s="145"/>
      <c r="L49" s="346" t="s">
        <v>407</v>
      </c>
      <c r="M49" s="290"/>
      <c r="N49" s="290"/>
      <c r="O49" s="290"/>
      <c r="P49" s="1279">
        <v>1</v>
      </c>
      <c r="Q49" s="122"/>
      <c r="R49" s="208"/>
      <c r="S49" s="362"/>
      <c r="T49" s="779"/>
      <c r="U49" s="780"/>
      <c r="V49" s="1307"/>
      <c r="W49" s="1307"/>
      <c r="X49" s="1307"/>
      <c r="Y49" s="1307"/>
      <c r="Z49" s="1307"/>
      <c r="AA49" s="1308"/>
      <c r="AB49" s="1306"/>
      <c r="AC49" s="1307"/>
      <c r="AD49" s="1307"/>
      <c r="AE49" s="1307"/>
      <c r="AF49" s="1307"/>
      <c r="AG49" s="1307"/>
      <c r="AH49" s="1307"/>
      <c r="AI49" s="1307"/>
      <c r="AJ49" s="1307"/>
      <c r="AK49" s="1307"/>
      <c r="AL49" s="1307"/>
      <c r="AM49" s="1307"/>
      <c r="AN49" s="1307"/>
      <c r="AO49" s="1307"/>
      <c r="AP49" s="1307"/>
      <c r="AQ49" s="1307"/>
      <c r="AR49" s="1307"/>
      <c r="AS49" s="1307"/>
      <c r="AT49" s="1308"/>
      <c r="AU49" s="781"/>
      <c r="AW49" s="69"/>
      <c r="AX49" s="69" t="str">
        <f t="shared" si="2"/>
        <v/>
      </c>
      <c r="AY49" s="69"/>
      <c r="AZ49" s="69"/>
      <c r="BA49" s="68">
        <v>1</v>
      </c>
    </row>
    <row r="50" spans="1:53" s="68" customFormat="1" ht="1.1499999999999999" customHeight="1">
      <c r="A50" s="145" t="s">
        <v>204</v>
      </c>
      <c r="B50" s="145" t="s">
        <v>205</v>
      </c>
      <c r="C50" s="145" t="s">
        <v>206</v>
      </c>
      <c r="D50" s="145" t="s">
        <v>207</v>
      </c>
      <c r="E50" s="1276"/>
      <c r="F50" s="1276"/>
      <c r="G50" s="1276"/>
      <c r="H50" s="1276"/>
      <c r="I50" s="1278"/>
      <c r="J50" s="1277" t="str">
        <f>S48&amp;".1"</f>
        <v>....1</v>
      </c>
      <c r="K50" s="145"/>
      <c r="L50" s="346"/>
      <c r="M50" s="290"/>
      <c r="N50" s="290"/>
      <c r="O50" s="290"/>
      <c r="P50" s="1279"/>
      <c r="Q50" s="1279">
        <v>1</v>
      </c>
      <c r="R50" s="209"/>
      <c r="S50" s="362"/>
      <c r="T50" s="794"/>
      <c r="U50" s="780"/>
      <c r="V50" s="1307"/>
      <c r="W50" s="1307"/>
      <c r="X50" s="1307"/>
      <c r="Y50" s="1307"/>
      <c r="Z50" s="1307"/>
      <c r="AA50" s="1308"/>
      <c r="AB50" s="1306"/>
      <c r="AC50" s="1307"/>
      <c r="AD50" s="1307"/>
      <c r="AE50" s="1307"/>
      <c r="AF50" s="1307"/>
      <c r="AG50" s="1307"/>
      <c r="AH50" s="1307"/>
      <c r="AI50" s="1307"/>
      <c r="AJ50" s="1307"/>
      <c r="AK50" s="1307"/>
      <c r="AL50" s="1307"/>
      <c r="AM50" s="1307"/>
      <c r="AN50" s="1307"/>
      <c r="AO50" s="1307"/>
      <c r="AP50" s="1307"/>
      <c r="AQ50" s="1307"/>
      <c r="AR50" s="1307"/>
      <c r="AS50" s="1307"/>
      <c r="AT50" s="1308"/>
      <c r="AU50" s="781"/>
      <c r="AW50" s="69"/>
      <c r="AX50" s="69" t="str">
        <f t="shared" si="2"/>
        <v/>
      </c>
      <c r="AY50" s="69"/>
      <c r="AZ50" s="69"/>
      <c r="BA50" s="68">
        <v>1</v>
      </c>
    </row>
    <row r="51" spans="1:53" ht="21.95" customHeight="1">
      <c r="A51" s="769" t="s">
        <v>204</v>
      </c>
      <c r="B51" s="769" t="s">
        <v>205</v>
      </c>
      <c r="C51" s="769" t="s">
        <v>206</v>
      </c>
      <c r="D51" s="769" t="s">
        <v>207</v>
      </c>
      <c r="E51" s="1276"/>
      <c r="F51" s="1276"/>
      <c r="G51" s="1276"/>
      <c r="H51" s="1276"/>
      <c r="I51" s="1278"/>
      <c r="J51" s="1278"/>
      <c r="K51" s="1277" t="str">
        <f>S48&amp;".1"</f>
        <v>....1</v>
      </c>
      <c r="L51" s="770"/>
      <c r="P51" s="1279"/>
      <c r="Q51" s="1279"/>
      <c r="R51" s="209">
        <v>1</v>
      </c>
      <c r="S51" s="1332" t="str">
        <f>$K51</f>
        <v>....1</v>
      </c>
      <c r="T51" s="1329"/>
      <c r="U51" s="171"/>
      <c r="V51" s="306"/>
      <c r="W51" s="728"/>
      <c r="X51" s="943"/>
      <c r="Y51" s="297" t="s">
        <v>66</v>
      </c>
      <c r="Z51" s="943"/>
      <c r="AA51" s="297" t="s">
        <v>66</v>
      </c>
      <c r="AB51" s="1158" t="s">
        <v>19</v>
      </c>
      <c r="AC51" s="1328"/>
      <c r="AD51" s="1233">
        <v>1</v>
      </c>
      <c r="AE51" s="1320" t="s">
        <v>22</v>
      </c>
      <c r="AF51" s="1158" t="s">
        <v>19</v>
      </c>
      <c r="AG51" s="1328"/>
      <c r="AH51" s="1233">
        <v>1</v>
      </c>
      <c r="AI51" s="1320" t="s">
        <v>22</v>
      </c>
      <c r="AJ51" s="1158" t="s">
        <v>19</v>
      </c>
      <c r="AK51" s="180"/>
      <c r="AL51" s="268">
        <v>1</v>
      </c>
      <c r="AM51" s="323"/>
      <c r="AN51" s="306"/>
      <c r="AO51" s="728"/>
      <c r="AP51" s="943"/>
      <c r="AQ51" s="297" t="s">
        <v>66</v>
      </c>
      <c r="AR51" s="943"/>
      <c r="AS51" s="297" t="s">
        <v>66</v>
      </c>
      <c r="AT51" s="766"/>
      <c r="AU51" s="1298" t="s">
        <v>484</v>
      </c>
      <c r="AV51" s="68" t="e">
        <f ca="1">STRCHECKDATE(V54:AT54)</f>
        <v>#NAME?</v>
      </c>
      <c r="AW51" s="69"/>
      <c r="AX51" s="69" t="str">
        <f t="shared" si="2"/>
        <v/>
      </c>
      <c r="AY51" s="69"/>
      <c r="AZ51" s="69"/>
      <c r="BA51" s="11">
        <v>21</v>
      </c>
    </row>
    <row r="52" spans="1:53" ht="11.45" customHeight="1">
      <c r="A52" s="769" t="s">
        <v>204</v>
      </c>
      <c r="B52" s="769"/>
      <c r="C52" s="769"/>
      <c r="D52" s="769"/>
      <c r="E52" s="1276"/>
      <c r="F52" s="1276"/>
      <c r="G52" s="1276"/>
      <c r="H52" s="1276"/>
      <c r="I52" s="1278"/>
      <c r="J52" s="1278"/>
      <c r="K52" s="1277"/>
      <c r="L52" s="770"/>
      <c r="P52" s="1279"/>
      <c r="Q52" s="1279"/>
      <c r="R52" s="209"/>
      <c r="S52" s="1333"/>
      <c r="T52" s="1330"/>
      <c r="U52" s="171"/>
      <c r="V52" s="789"/>
      <c r="W52" s="819"/>
      <c r="X52" s="789"/>
      <c r="Y52" s="789"/>
      <c r="Z52" s="789"/>
      <c r="AA52" s="789"/>
      <c r="AB52" s="1158"/>
      <c r="AC52" s="1328"/>
      <c r="AD52" s="1233"/>
      <c r="AE52" s="1320"/>
      <c r="AF52" s="1158"/>
      <c r="AG52" s="1328"/>
      <c r="AH52" s="1233"/>
      <c r="AI52" s="1320"/>
      <c r="AJ52" s="1158"/>
      <c r="AK52" s="184"/>
      <c r="AL52" s="52"/>
      <c r="AM52" s="110" t="s">
        <v>469</v>
      </c>
      <c r="AN52" s="789"/>
      <c r="AO52" s="819"/>
      <c r="AP52" s="789"/>
      <c r="AQ52" s="789"/>
      <c r="AR52" s="789"/>
      <c r="AS52" s="789"/>
      <c r="AT52" s="786"/>
      <c r="AU52" s="1299"/>
      <c r="AW52" s="69"/>
      <c r="AX52" s="69"/>
      <c r="AY52" s="69"/>
      <c r="AZ52" s="69"/>
      <c r="BA52" s="11">
        <v>11</v>
      </c>
    </row>
    <row r="53" spans="1:53" ht="11.45" customHeight="1">
      <c r="A53" s="769" t="s">
        <v>204</v>
      </c>
      <c r="B53" s="769"/>
      <c r="C53" s="769"/>
      <c r="D53" s="769"/>
      <c r="E53" s="1276"/>
      <c r="F53" s="1276"/>
      <c r="G53" s="1276"/>
      <c r="H53" s="1276"/>
      <c r="I53" s="1278"/>
      <c r="J53" s="1278"/>
      <c r="K53" s="1277"/>
      <c r="L53" s="770"/>
      <c r="P53" s="1279"/>
      <c r="Q53" s="1279"/>
      <c r="R53" s="209"/>
      <c r="S53" s="1333"/>
      <c r="T53" s="1330"/>
      <c r="U53" s="171"/>
      <c r="V53" s="789"/>
      <c r="W53" s="819"/>
      <c r="X53" s="789"/>
      <c r="Y53" s="789"/>
      <c r="Z53" s="789"/>
      <c r="AA53" s="789"/>
      <c r="AB53" s="1158"/>
      <c r="AC53" s="1328"/>
      <c r="AD53" s="1233"/>
      <c r="AE53" s="1320"/>
      <c r="AF53" s="1158"/>
      <c r="AG53" s="169"/>
      <c r="AH53" s="110"/>
      <c r="AI53" s="110" t="s">
        <v>470</v>
      </c>
      <c r="AJ53" s="789"/>
      <c r="AK53" s="789"/>
      <c r="AL53" s="789"/>
      <c r="AM53" s="789"/>
      <c r="AN53" s="789"/>
      <c r="AO53" s="819"/>
      <c r="AP53" s="789"/>
      <c r="AQ53" s="789"/>
      <c r="AR53" s="789"/>
      <c r="AS53" s="789"/>
      <c r="AT53" s="786"/>
      <c r="AU53" s="1299"/>
      <c r="AW53" s="69"/>
      <c r="AX53" s="69"/>
      <c r="AY53" s="69"/>
      <c r="AZ53" s="69"/>
      <c r="BA53" s="11">
        <v>11</v>
      </c>
    </row>
    <row r="54" spans="1:53" ht="11.45" customHeight="1">
      <c r="A54" s="769" t="s">
        <v>204</v>
      </c>
      <c r="B54" s="769" t="s">
        <v>205</v>
      </c>
      <c r="C54" s="769" t="s">
        <v>206</v>
      </c>
      <c r="D54" s="769" t="s">
        <v>207</v>
      </c>
      <c r="E54" s="1276"/>
      <c r="F54" s="1276"/>
      <c r="G54" s="1276"/>
      <c r="H54" s="1276"/>
      <c r="I54" s="1278"/>
      <c r="J54" s="1278"/>
      <c r="K54" s="1277"/>
      <c r="L54" s="770"/>
      <c r="P54" s="1279"/>
      <c r="Q54" s="1279"/>
      <c r="R54" s="209"/>
      <c r="S54" s="1334"/>
      <c r="T54" s="1331"/>
      <c r="U54" s="171"/>
      <c r="V54" s="789"/>
      <c r="W54" s="790" t="str">
        <f>X51&amp;"-"&amp;Z51</f>
        <v>-</v>
      </c>
      <c r="X54" s="789"/>
      <c r="Y54" s="789"/>
      <c r="Z54" s="789"/>
      <c r="AA54" s="789"/>
      <c r="AB54" s="1158"/>
      <c r="AC54" s="181"/>
      <c r="AD54" s="183"/>
      <c r="AE54" s="110" t="s">
        <v>471</v>
      </c>
      <c r="AF54" s="789"/>
      <c r="AG54" s="789"/>
      <c r="AH54" s="789"/>
      <c r="AI54" s="789"/>
      <c r="AJ54" s="789"/>
      <c r="AK54" s="789"/>
      <c r="AL54" s="789"/>
      <c r="AM54" s="789"/>
      <c r="AN54" s="789"/>
      <c r="AO54" s="790" t="str">
        <f>AP51&amp;"-"&amp;AR51</f>
        <v>-</v>
      </c>
      <c r="AP54" s="789"/>
      <c r="AQ54" s="789"/>
      <c r="AR54" s="789"/>
      <c r="AS54" s="789"/>
      <c r="AT54" s="767"/>
      <c r="AU54" s="1299"/>
      <c r="AW54" s="69"/>
      <c r="AX54" s="69" t="str">
        <f t="shared" ref="AX54:AX62" si="3">IF(T54="","",T54)</f>
        <v/>
      </c>
      <c r="AY54" s="69"/>
      <c r="AZ54" s="69"/>
      <c r="BA54" s="11">
        <v>11</v>
      </c>
    </row>
    <row r="55" spans="1:53" ht="11.45" customHeight="1">
      <c r="A55" s="769" t="s">
        <v>204</v>
      </c>
      <c r="B55" s="769" t="s">
        <v>205</v>
      </c>
      <c r="C55" s="769" t="s">
        <v>206</v>
      </c>
      <c r="D55" s="769" t="s">
        <v>207</v>
      </c>
      <c r="E55" s="1276"/>
      <c r="F55" s="1276"/>
      <c r="G55" s="1276"/>
      <c r="H55" s="1276"/>
      <c r="I55" s="1278"/>
      <c r="J55" s="1277"/>
      <c r="K55" s="769"/>
      <c r="L55" s="770"/>
      <c r="P55" s="1279"/>
      <c r="Q55" s="1279"/>
      <c r="R55" s="208"/>
      <c r="S55" s="742"/>
      <c r="T55" s="166" t="s">
        <v>472</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00"/>
      <c r="AW55" s="69"/>
      <c r="AX55" s="69" t="str">
        <f t="shared" si="3"/>
        <v>Добавить строку</v>
      </c>
      <c r="AY55" s="69"/>
      <c r="AZ55" s="69"/>
      <c r="BA55" s="11">
        <v>11</v>
      </c>
    </row>
    <row r="56" spans="1:53" s="68" customFormat="1" ht="1.1499999999999999" customHeight="1">
      <c r="A56" s="145" t="s">
        <v>204</v>
      </c>
      <c r="B56" s="145" t="s">
        <v>205</v>
      </c>
      <c r="C56" s="145" t="s">
        <v>206</v>
      </c>
      <c r="D56" s="145" t="s">
        <v>207</v>
      </c>
      <c r="E56" s="1276"/>
      <c r="F56" s="1276"/>
      <c r="G56" s="1276"/>
      <c r="H56" s="1276"/>
      <c r="I56" s="1277"/>
      <c r="J56" s="145"/>
      <c r="K56" s="145"/>
      <c r="L56" s="346"/>
      <c r="M56" s="290"/>
      <c r="N56" s="290"/>
      <c r="O56" s="290"/>
      <c r="P56" s="1279"/>
      <c r="Q56" s="122"/>
      <c r="R56" s="208"/>
      <c r="S56" s="782"/>
      <c r="T56" s="783" t="s">
        <v>416</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1499999999999999" customHeight="1">
      <c r="A57" s="145" t="s">
        <v>204</v>
      </c>
      <c r="B57" s="145" t="s">
        <v>205</v>
      </c>
      <c r="C57" s="145" t="s">
        <v>206</v>
      </c>
      <c r="D57" s="145" t="s">
        <v>207</v>
      </c>
      <c r="E57" s="1276"/>
      <c r="F57" s="1276"/>
      <c r="G57" s="1276"/>
      <c r="H57" s="1275"/>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1499999999999999" customHeight="1">
      <c r="A58" s="145" t="s">
        <v>204</v>
      </c>
      <c r="B58" s="145" t="s">
        <v>205</v>
      </c>
      <c r="C58" s="145" t="s">
        <v>206</v>
      </c>
      <c r="D58" s="145"/>
      <c r="E58" s="1276"/>
      <c r="F58" s="1276"/>
      <c r="G58" s="1275"/>
      <c r="H58" s="145"/>
      <c r="I58" s="145"/>
      <c r="J58" s="145"/>
      <c r="K58" s="145"/>
      <c r="L58" s="346"/>
      <c r="M58" s="293"/>
      <c r="N58" s="293"/>
      <c r="P58" s="104"/>
      <c r="Q58" s="755"/>
      <c r="R58" s="104"/>
      <c r="S58" s="760"/>
      <c r="T58" s="762" t="s">
        <v>418</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1499999999999999" customHeight="1">
      <c r="A59" s="145" t="s">
        <v>204</v>
      </c>
      <c r="B59" s="145" t="s">
        <v>205</v>
      </c>
      <c r="C59" s="145"/>
      <c r="D59" s="145"/>
      <c r="E59" s="1276"/>
      <c r="F59" s="1275"/>
      <c r="G59" s="145"/>
      <c r="H59" s="145"/>
      <c r="I59" s="145"/>
      <c r="J59" s="145"/>
      <c r="K59" s="145"/>
      <c r="L59" s="346"/>
      <c r="M59" s="759"/>
      <c r="N59" s="759"/>
      <c r="P59" s="104"/>
      <c r="Q59" s="755"/>
      <c r="R59" s="104"/>
      <c r="S59" s="760"/>
      <c r="T59" s="762" t="s">
        <v>419</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1499999999999999" customHeight="1">
      <c r="A60" s="145" t="s">
        <v>204</v>
      </c>
      <c r="B60" s="145"/>
      <c r="C60" s="145"/>
      <c r="D60" s="145"/>
      <c r="E60" s="1276"/>
      <c r="F60" s="145"/>
      <c r="G60" s="145"/>
      <c r="H60" s="145"/>
      <c r="I60" s="145"/>
      <c r="J60" s="145"/>
      <c r="K60" s="145"/>
      <c r="L60" s="346"/>
      <c r="M60" s="759"/>
      <c r="N60" s="759"/>
      <c r="P60" s="104"/>
      <c r="Q60" s="755"/>
      <c r="R60" s="104"/>
      <c r="S60" s="760"/>
      <c r="T60" s="762" t="s">
        <v>420</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1499999999999999" customHeight="1">
      <c r="A61" s="145" t="s">
        <v>204</v>
      </c>
      <c r="B61" s="145"/>
      <c r="C61" s="145"/>
      <c r="D61" s="145"/>
      <c r="E61" s="1275"/>
      <c r="F61" s="145"/>
      <c r="G61" s="145"/>
      <c r="H61" s="145"/>
      <c r="I61" s="145"/>
      <c r="J61" s="145"/>
      <c r="K61" s="145"/>
      <c r="L61" s="346"/>
      <c r="M61" s="759"/>
      <c r="N61" s="759"/>
      <c r="P61" s="104"/>
      <c r="Q61" s="755"/>
      <c r="R61" s="104"/>
      <c r="S61" s="760"/>
      <c r="T61" s="762" t="s">
        <v>420</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1499999999999999" customHeight="1">
      <c r="A62" s="145"/>
      <c r="B62" s="145"/>
      <c r="C62" s="145"/>
      <c r="D62" s="145"/>
      <c r="E62" s="145"/>
      <c r="F62" s="145"/>
      <c r="G62" s="145"/>
      <c r="H62" s="145"/>
      <c r="I62" s="145"/>
      <c r="J62" s="145"/>
      <c r="K62" s="145"/>
      <c r="L62" s="346"/>
      <c r="M62" s="759"/>
      <c r="N62" s="759"/>
      <c r="P62" s="104"/>
      <c r="Q62" s="755"/>
      <c r="R62" s="104"/>
      <c r="S62" s="760"/>
      <c r="T62" s="762" t="s">
        <v>452</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45" customHeight="1">
      <c r="M63" s="63"/>
      <c r="N63" s="63"/>
      <c r="O63" s="63"/>
      <c r="P63" s="63"/>
      <c r="Q63" s="63"/>
      <c r="R63" s="11"/>
      <c r="S63" s="11"/>
      <c r="AV63" s="11"/>
      <c r="AW63" s="11"/>
      <c r="AX63" s="11"/>
      <c r="AY63" s="11"/>
      <c r="AZ63" s="11"/>
      <c r="BA63" s="11">
        <v>11</v>
      </c>
    </row>
    <row r="64" spans="1:53" ht="19.899999999999999" customHeight="1">
      <c r="O64" s="63"/>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N64" s="1274"/>
      <c r="AO64" s="1274"/>
      <c r="AP64" s="1274"/>
      <c r="AQ64" s="1274"/>
      <c r="AR64" s="1274"/>
      <c r="AS64" s="1274"/>
      <c r="AT64" s="1274"/>
      <c r="AU64" s="1274"/>
      <c r="BA64" s="11">
        <v>19</v>
      </c>
    </row>
    <row r="65" spans="1:53" ht="21" customHeight="1">
      <c r="O65" s="63"/>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BA65" s="11">
        <v>20</v>
      </c>
    </row>
    <row r="66" spans="1:53"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899999999999999" customHeight="1">
      <c r="O67" s="63"/>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BA67" s="11">
        <v>19</v>
      </c>
    </row>
    <row r="68" spans="1:53" ht="16.899999999999999" customHeight="1">
      <c r="O68" s="63"/>
      <c r="T68" s="1274"/>
      <c r="U68" s="1274"/>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R68" s="1274"/>
      <c r="AS68" s="1274"/>
      <c r="AT68" s="1274"/>
      <c r="AU68" s="1274"/>
      <c r="BA68" s="11">
        <v>16</v>
      </c>
    </row>
    <row r="69" spans="1:53" ht="14.65" customHeight="1">
      <c r="O69" s="63"/>
      <c r="BA69" s="11">
        <v>14</v>
      </c>
    </row>
    <row r="70" spans="1:53" ht="22.5" hidden="1" customHeight="1">
      <c r="A70" s="63" t="s">
        <v>82</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94265-BD82-8662-3B88-3F27B2202B6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402</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485</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486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487</v>
      </c>
      <c r="U5" s="171"/>
      <c r="V5" s="1343"/>
      <c r="W5" s="1344"/>
      <c r="X5" s="1344"/>
      <c r="Y5" s="1344"/>
      <c r="Z5" s="1344"/>
      <c r="AA5" s="1344"/>
      <c r="AB5" s="1345"/>
      <c r="AC5" s="1346"/>
      <c r="AD5" s="1347"/>
      <c r="AE5" s="1347"/>
      <c r="AF5" s="1347"/>
      <c r="AG5" s="1347"/>
      <c r="AH5" s="1347"/>
      <c r="AI5" s="1347"/>
      <c r="AJ5" s="1348"/>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410</v>
      </c>
      <c r="P6" s="1279"/>
      <c r="Q6" s="1279">
        <v>1</v>
      </c>
      <c r="R6" s="209"/>
      <c r="S6" s="709" t="e">
        <f>$J6</f>
        <v>#N/A</v>
      </c>
      <c r="T6" s="165" t="s">
        <v>411</v>
      </c>
      <c r="U6" s="171"/>
      <c r="V6" s="1263"/>
      <c r="W6" s="1264"/>
      <c r="X6" s="1264"/>
      <c r="Y6" s="1264"/>
      <c r="Z6" s="1264"/>
      <c r="AA6" s="1264"/>
      <c r="AB6" s="1265"/>
      <c r="AC6" s="1263"/>
      <c r="AD6" s="1264"/>
      <c r="AE6" s="1264"/>
      <c r="AF6" s="1264"/>
      <c r="AG6" s="1264"/>
      <c r="AH6" s="1264"/>
      <c r="AI6" s="1264"/>
      <c r="AJ6" s="1265"/>
      <c r="AK6" s="753" t="s">
        <v>489</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8" t="s">
        <v>66</v>
      </c>
      <c r="AA7" s="1280"/>
      <c r="AB7" s="1158" t="s">
        <v>66</v>
      </c>
      <c r="AC7" s="306"/>
      <c r="AD7" s="306"/>
      <c r="AE7" s="728"/>
      <c r="AF7" s="1280"/>
      <c r="AG7" s="1158" t="s">
        <v>66</v>
      </c>
      <c r="AH7" s="1282"/>
      <c r="AI7" s="1158"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8"/>
      <c r="AA8" s="1281"/>
      <c r="AB8" s="1158"/>
      <c r="AC8" s="191"/>
      <c r="AD8" s="191"/>
      <c r="AE8" s="192" t="str">
        <f>AF7&amp;"-"&amp;AH7</f>
        <v>-</v>
      </c>
      <c r="AF8" s="1281"/>
      <c r="AG8" s="1158"/>
      <c r="AH8" s="1283"/>
      <c r="AI8" s="1158"/>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76"/>
      <c r="F11" s="1276"/>
      <c r="G11" s="1276"/>
      <c r="H11" s="1275"/>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420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421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422</v>
      </c>
      <c r="P20" s="506"/>
      <c r="Q20" s="815"/>
      <c r="R20" s="815"/>
      <c r="S20" s="426"/>
      <c r="T20" s="63" t="s">
        <v>423</v>
      </c>
      <c r="Z20" s="82" t="s">
        <v>424</v>
      </c>
      <c r="AB20" s="82" t="s">
        <v>425</v>
      </c>
      <c r="AC20" s="63" t="s">
        <v>423</v>
      </c>
      <c r="AG20" s="82" t="s">
        <v>426</v>
      </c>
      <c r="AI20" s="82" t="s">
        <v>425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427</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428</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429</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430</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431</v>
      </c>
      <c r="AC34" s="11"/>
      <c r="AD34" s="11"/>
      <c r="AE34" s="11"/>
      <c r="AF34" s="11"/>
      <c r="AG34" s="11"/>
      <c r="AH34" s="11"/>
      <c r="AI34" s="68" t="s">
        <v>431</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65" customHeight="1">
      <c r="Q37" s="28"/>
      <c r="R37" s="28"/>
      <c r="S37" s="1288" t="s">
        <v>88</v>
      </c>
      <c r="T37" s="1237" t="s">
        <v>432</v>
      </c>
      <c r="U37" s="172"/>
      <c r="V37" s="1289" t="s">
        <v>433</v>
      </c>
      <c r="W37" s="1290"/>
      <c r="X37" s="1290"/>
      <c r="Y37" s="1290"/>
      <c r="Z37" s="1290"/>
      <c r="AA37" s="1291"/>
      <c r="AB37" s="1292" t="s">
        <v>434</v>
      </c>
      <c r="AC37" s="1289" t="s">
        <v>433</v>
      </c>
      <c r="AD37" s="1290"/>
      <c r="AE37" s="1290"/>
      <c r="AF37" s="1290"/>
      <c r="AG37" s="1290"/>
      <c r="AH37" s="1291"/>
      <c r="AI37" s="1292" t="s">
        <v>435</v>
      </c>
      <c r="AJ37" s="1295" t="s">
        <v>436</v>
      </c>
      <c r="AK37" s="1148"/>
      <c r="AQ37" s="11">
        <v>14</v>
      </c>
    </row>
    <row r="38" spans="1:43" ht="35.65" customHeight="1">
      <c r="Q38" s="28"/>
      <c r="R38" s="28"/>
      <c r="S38" s="1288"/>
      <c r="T38" s="1237"/>
      <c r="U38" s="607"/>
      <c r="V38" s="340" t="s">
        <v>493</v>
      </c>
      <c r="W38" s="1129" t="s">
        <v>439</v>
      </c>
      <c r="X38" s="1128"/>
      <c r="Y38" s="1129" t="s">
        <v>440</v>
      </c>
      <c r="Z38" s="1135"/>
      <c r="AA38" s="1128"/>
      <c r="AB38" s="1293"/>
      <c r="AC38" s="340" t="s">
        <v>493</v>
      </c>
      <c r="AD38" s="1129" t="s">
        <v>439</v>
      </c>
      <c r="AE38" s="1128"/>
      <c r="AF38" s="1129" t="s">
        <v>440</v>
      </c>
      <c r="AG38" s="1135"/>
      <c r="AH38" s="1128"/>
      <c r="AI38" s="1293"/>
      <c r="AJ38" s="1296"/>
      <c r="AK38" s="1148"/>
      <c r="AQ38" s="11">
        <v>34</v>
      </c>
    </row>
    <row r="39" spans="1:43" ht="35.65" customHeight="1">
      <c r="A39" s="82"/>
      <c r="B39" s="82" t="s">
        <v>141</v>
      </c>
      <c r="C39" s="82" t="s">
        <v>142</v>
      </c>
      <c r="D39" s="82" t="s">
        <v>143</v>
      </c>
      <c r="E39" s="770" t="s">
        <v>441</v>
      </c>
      <c r="F39" s="770" t="s">
        <v>442</v>
      </c>
      <c r="G39" s="770" t="s">
        <v>443</v>
      </c>
      <c r="H39" s="770"/>
      <c r="I39" s="770" t="s">
        <v>494</v>
      </c>
      <c r="J39" s="770" t="s">
        <v>446</v>
      </c>
      <c r="K39" s="770" t="s">
        <v>495</v>
      </c>
      <c r="L39" s="770" t="s">
        <v>422</v>
      </c>
      <c r="Q39" s="28"/>
      <c r="R39" s="28"/>
      <c r="S39" s="1288"/>
      <c r="T39" s="1237"/>
      <c r="U39" s="173"/>
      <c r="V39" s="340" t="s">
        <v>496</v>
      </c>
      <c r="W39" s="39" t="s">
        <v>497</v>
      </c>
      <c r="X39" s="39" t="s">
        <v>498</v>
      </c>
      <c r="Y39" s="39" t="s">
        <v>450</v>
      </c>
      <c r="Z39" s="1242" t="s">
        <v>451</v>
      </c>
      <c r="AA39" s="1255"/>
      <c r="AB39" s="1294"/>
      <c r="AC39" s="340" t="s">
        <v>496</v>
      </c>
      <c r="AD39" s="39" t="s">
        <v>497</v>
      </c>
      <c r="AE39" s="39" t="s">
        <v>498</v>
      </c>
      <c r="AF39" s="39" t="s">
        <v>450</v>
      </c>
      <c r="AG39" s="1242" t="s">
        <v>451</v>
      </c>
      <c r="AH39" s="1255"/>
      <c r="AI39" s="1294"/>
      <c r="AJ39" s="1297"/>
      <c r="AK39" s="1148"/>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115</v>
      </c>
      <c r="T40" s="726" t="s">
        <v>103</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230</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129</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230</v>
      </c>
      <c r="B42" s="769" t="s">
        <v>231</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402</v>
      </c>
      <c r="AM42" s="69"/>
      <c r="AN42" s="69" t="str">
        <f t="shared" si="1"/>
        <v>Территория действия тарифа</v>
      </c>
      <c r="AO42" s="69"/>
      <c r="AP42" s="69"/>
      <c r="AQ42" s="11">
        <v>23</v>
      </c>
    </row>
    <row r="43" spans="1:43" ht="24" customHeight="1">
      <c r="A43" s="769" t="s">
        <v>230</v>
      </c>
      <c r="B43" s="769" t="s">
        <v>231</v>
      </c>
      <c r="C43" s="769" t="s">
        <v>232</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485</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486</v>
      </c>
      <c r="AM43" s="69"/>
      <c r="AN43" s="69" t="str">
        <f t="shared" si="1"/>
        <v>Наименование централизованной системы холодного водоснабжения</v>
      </c>
      <c r="AO43" s="69"/>
      <c r="AP43" s="69"/>
      <c r="AQ43" s="11">
        <v>23</v>
      </c>
    </row>
    <row r="44" spans="1:43" ht="24" customHeight="1">
      <c r="A44" s="769" t="s">
        <v>230</v>
      </c>
      <c r="B44" s="769" t="s">
        <v>231</v>
      </c>
      <c r="C44" s="769" t="s">
        <v>232</v>
      </c>
      <c r="D44" s="769" t="s">
        <v>499</v>
      </c>
      <c r="E44" s="1276"/>
      <c r="F44" s="1276"/>
      <c r="G44" s="1276"/>
      <c r="H44" s="1276"/>
      <c r="I44" s="1277" t="str">
        <f>S43&amp;".1"</f>
        <v>...1</v>
      </c>
      <c r="J44" s="769"/>
      <c r="K44" s="769"/>
      <c r="L44" s="770"/>
      <c r="P44" s="1279">
        <v>1</v>
      </c>
      <c r="Q44" s="122"/>
      <c r="R44" s="208"/>
      <c r="S44" s="709" t="str">
        <f>$I44</f>
        <v>...1</v>
      </c>
      <c r="T44" s="164" t="s">
        <v>487</v>
      </c>
      <c r="U44" s="171"/>
      <c r="V44" s="1343"/>
      <c r="W44" s="1344"/>
      <c r="X44" s="1344"/>
      <c r="Y44" s="1344"/>
      <c r="Z44" s="1344"/>
      <c r="AA44" s="1344"/>
      <c r="AB44" s="1345"/>
      <c r="AC44" s="1346"/>
      <c r="AD44" s="1347"/>
      <c r="AE44" s="1347"/>
      <c r="AF44" s="1347"/>
      <c r="AG44" s="1347"/>
      <c r="AH44" s="1347"/>
      <c r="AI44" s="1347"/>
      <c r="AJ44" s="1348"/>
      <c r="AK44" s="729" t="s">
        <v>488</v>
      </c>
      <c r="AM44" s="69"/>
      <c r="AN44" s="69" t="str">
        <f t="shared" si="1"/>
        <v>Наименование признака дифференциации</v>
      </c>
      <c r="AO44" s="69"/>
      <c r="AP44" s="69"/>
      <c r="AQ44" s="11">
        <v>23</v>
      </c>
    </row>
    <row r="45" spans="1:43" ht="24" customHeight="1">
      <c r="A45" s="769" t="s">
        <v>230</v>
      </c>
      <c r="B45" s="769" t="s">
        <v>231</v>
      </c>
      <c r="C45" s="769" t="s">
        <v>232</v>
      </c>
      <c r="D45" s="769" t="s">
        <v>499</v>
      </c>
      <c r="E45" s="1276"/>
      <c r="F45" s="1276"/>
      <c r="G45" s="1276"/>
      <c r="H45" s="1276"/>
      <c r="I45" s="1278"/>
      <c r="J45" s="1277" t="str">
        <f>I44&amp;".1"</f>
        <v>...1.1</v>
      </c>
      <c r="K45" s="769"/>
      <c r="L45" s="770" t="s">
        <v>410</v>
      </c>
      <c r="P45" s="1279"/>
      <c r="Q45" s="1279">
        <v>1</v>
      </c>
      <c r="R45" s="209"/>
      <c r="S45" s="709" t="str">
        <f>$J45</f>
        <v>...1.1</v>
      </c>
      <c r="T45" s="165" t="s">
        <v>411</v>
      </c>
      <c r="U45" s="171"/>
      <c r="V45" s="1263"/>
      <c r="W45" s="1264"/>
      <c r="X45" s="1264"/>
      <c r="Y45" s="1264"/>
      <c r="Z45" s="1264"/>
      <c r="AA45" s="1264"/>
      <c r="AB45" s="1265"/>
      <c r="AC45" s="1263"/>
      <c r="AD45" s="1264"/>
      <c r="AE45" s="1264"/>
      <c r="AF45" s="1264"/>
      <c r="AG45" s="1264"/>
      <c r="AH45" s="1264"/>
      <c r="AI45" s="1264"/>
      <c r="AJ45" s="1265"/>
      <c r="AK45" s="753" t="s">
        <v>489</v>
      </c>
      <c r="AM45" s="69"/>
      <c r="AN45" s="69" t="str">
        <f t="shared" si="1"/>
        <v>Группа потребителей</v>
      </c>
      <c r="AO45" s="69"/>
      <c r="AP45" s="69"/>
      <c r="AQ45" s="11">
        <v>23</v>
      </c>
    </row>
    <row r="46" spans="1:43" ht="24" customHeight="1">
      <c r="A46" s="769" t="s">
        <v>230</v>
      </c>
      <c r="B46" s="769" t="s">
        <v>231</v>
      </c>
      <c r="C46" s="769" t="s">
        <v>232</v>
      </c>
      <c r="D46" s="769" t="s">
        <v>499</v>
      </c>
      <c r="E46" s="1276"/>
      <c r="F46" s="1276"/>
      <c r="G46" s="1276"/>
      <c r="H46" s="1276"/>
      <c r="I46" s="1278"/>
      <c r="J46" s="1278"/>
      <c r="K46" s="1277" t="str">
        <f>J45&amp;".1"</f>
        <v>...1.1.1</v>
      </c>
      <c r="L46" s="770"/>
      <c r="P46" s="1279"/>
      <c r="Q46" s="1279"/>
      <c r="R46" s="209">
        <v>1</v>
      </c>
      <c r="S46" s="709" t="str">
        <f>$K46</f>
        <v>...1.1.1</v>
      </c>
      <c r="T46" s="812"/>
      <c r="U46" s="171"/>
      <c r="V46" s="368"/>
      <c r="W46" s="368"/>
      <c r="X46" s="768"/>
      <c r="Y46" s="1273"/>
      <c r="Z46" s="1272" t="s">
        <v>66</v>
      </c>
      <c r="AA46" s="1273"/>
      <c r="AB46" s="1272" t="s">
        <v>66</v>
      </c>
      <c r="AC46" s="306"/>
      <c r="AD46" s="306"/>
      <c r="AE46" s="728"/>
      <c r="AF46" s="1280"/>
      <c r="AG46" s="1158" t="s">
        <v>66</v>
      </c>
      <c r="AH46" s="1282"/>
      <c r="AI46" s="1158" t="s">
        <v>19</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230</v>
      </c>
      <c r="B47" s="769" t="s">
        <v>231</v>
      </c>
      <c r="C47" s="769" t="s">
        <v>232</v>
      </c>
      <c r="D47" s="769" t="s">
        <v>499</v>
      </c>
      <c r="E47" s="1276"/>
      <c r="F47" s="1276"/>
      <c r="G47" s="1276"/>
      <c r="H47" s="1276"/>
      <c r="I47" s="1278"/>
      <c r="J47" s="1278"/>
      <c r="K47" s="1277"/>
      <c r="L47" s="770"/>
      <c r="P47" s="1279"/>
      <c r="Q47" s="1279"/>
      <c r="R47" s="209"/>
      <c r="S47" s="65"/>
      <c r="T47" s="171"/>
      <c r="U47" s="171"/>
      <c r="V47" s="368"/>
      <c r="W47" s="368"/>
      <c r="X47" s="192" t="str">
        <f>Y46&amp;"-"&amp;AA46</f>
        <v>-</v>
      </c>
      <c r="Y47" s="1272"/>
      <c r="Z47" s="1272"/>
      <c r="AA47" s="1272"/>
      <c r="AB47" s="1272"/>
      <c r="AC47" s="191"/>
      <c r="AD47" s="191"/>
      <c r="AE47" s="192" t="str">
        <f>AF46&amp;"-"&amp;AH46</f>
        <v>-</v>
      </c>
      <c r="AF47" s="1281"/>
      <c r="AG47" s="1158"/>
      <c r="AH47" s="1283"/>
      <c r="AI47" s="1158"/>
      <c r="AJ47" s="388"/>
      <c r="AK47" s="1349"/>
      <c r="AM47" s="69"/>
      <c r="AN47" s="69" t="str">
        <f t="shared" si="1"/>
        <v/>
      </c>
      <c r="AO47" s="69"/>
      <c r="AP47" s="69"/>
      <c r="AQ47" s="11">
        <v>0</v>
      </c>
    </row>
    <row r="48" spans="1:43" ht="21" customHeight="1">
      <c r="A48" s="769" t="s">
        <v>230</v>
      </c>
      <c r="B48" s="769" t="s">
        <v>231</v>
      </c>
      <c r="C48" s="769" t="s">
        <v>232</v>
      </c>
      <c r="D48" s="769" t="s">
        <v>499</v>
      </c>
      <c r="E48" s="1276"/>
      <c r="F48" s="1276"/>
      <c r="G48" s="1276"/>
      <c r="H48" s="1276"/>
      <c r="I48" s="1278"/>
      <c r="J48" s="1277"/>
      <c r="K48" s="769"/>
      <c r="L48" s="770"/>
      <c r="P48" s="1279"/>
      <c r="Q48" s="1279"/>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230</v>
      </c>
      <c r="B49" s="769" t="s">
        <v>231</v>
      </c>
      <c r="C49" s="769" t="s">
        <v>232</v>
      </c>
      <c r="D49" s="769" t="s">
        <v>499</v>
      </c>
      <c r="E49" s="1276"/>
      <c r="F49" s="1276"/>
      <c r="G49" s="1276"/>
      <c r="H49" s="1276"/>
      <c r="I49" s="1277"/>
      <c r="J49" s="769"/>
      <c r="K49" s="769"/>
      <c r="L49" s="770"/>
      <c r="P49" s="127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230</v>
      </c>
      <c r="B50" s="769" t="s">
        <v>231</v>
      </c>
      <c r="C50" s="769" t="s">
        <v>232</v>
      </c>
      <c r="D50" s="769" t="s">
        <v>499</v>
      </c>
      <c r="E50" s="1276"/>
      <c r="F50" s="1276"/>
      <c r="G50" s="1276"/>
      <c r="H50" s="1275"/>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230</v>
      </c>
      <c r="B51" s="145" t="s">
        <v>231</v>
      </c>
      <c r="C51" s="145"/>
      <c r="D51" s="145"/>
      <c r="E51" s="1276"/>
      <c r="F51" s="1275"/>
      <c r="G51" s="145"/>
      <c r="H51" s="145"/>
      <c r="I51" s="145"/>
      <c r="J51" s="145"/>
      <c r="K51" s="145"/>
      <c r="L51" s="346"/>
      <c r="M51" s="759"/>
      <c r="N51" s="759"/>
      <c r="P51" s="104"/>
      <c r="Q51" s="755"/>
      <c r="R51" s="104"/>
      <c r="S51" s="760"/>
      <c r="T51" s="762" t="s">
        <v>419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230</v>
      </c>
      <c r="B52" s="145"/>
      <c r="C52" s="145"/>
      <c r="D52" s="145"/>
      <c r="E52" s="1275"/>
      <c r="F52" s="145"/>
      <c r="G52" s="145"/>
      <c r="H52" s="145"/>
      <c r="I52" s="145"/>
      <c r="J52" s="145"/>
      <c r="K52" s="145"/>
      <c r="L52" s="346"/>
      <c r="M52" s="759"/>
      <c r="N52" s="759"/>
      <c r="P52" s="104"/>
      <c r="Q52" s="755"/>
      <c r="R52" s="104"/>
      <c r="S52" s="760"/>
      <c r="T52" s="762" t="s">
        <v>420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240FC-8EE6-575C-FF2C-2DA33038D3B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402</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485</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486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487</v>
      </c>
      <c r="U5" s="171"/>
      <c r="V5" s="1343"/>
      <c r="W5" s="1344"/>
      <c r="X5" s="1344"/>
      <c r="Y5" s="1344"/>
      <c r="Z5" s="1344"/>
      <c r="AA5" s="1344"/>
      <c r="AB5" s="1345"/>
      <c r="AC5" s="1346"/>
      <c r="AD5" s="1347"/>
      <c r="AE5" s="1347"/>
      <c r="AF5" s="1347"/>
      <c r="AG5" s="1347"/>
      <c r="AH5" s="1347"/>
      <c r="AI5" s="1347"/>
      <c r="AJ5" s="1348"/>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410</v>
      </c>
      <c r="P6" s="1279"/>
      <c r="Q6" s="1279">
        <v>1</v>
      </c>
      <c r="R6" s="209"/>
      <c r="S6" s="709" t="e">
        <f>$J6</f>
        <v>#N/A</v>
      </c>
      <c r="T6" s="165" t="s">
        <v>411</v>
      </c>
      <c r="U6" s="171"/>
      <c r="V6" s="1263"/>
      <c r="W6" s="1264"/>
      <c r="X6" s="1264"/>
      <c r="Y6" s="1264"/>
      <c r="Z6" s="1264"/>
      <c r="AA6" s="1264"/>
      <c r="AB6" s="1265"/>
      <c r="AC6" s="1263"/>
      <c r="AD6" s="1264"/>
      <c r="AE6" s="1264"/>
      <c r="AF6" s="1264"/>
      <c r="AG6" s="1264"/>
      <c r="AH6" s="1264"/>
      <c r="AI6" s="1264"/>
      <c r="AJ6" s="1265"/>
      <c r="AK6" s="753" t="s">
        <v>489</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8" t="s">
        <v>66</v>
      </c>
      <c r="AA7" s="1280"/>
      <c r="AB7" s="1158" t="s">
        <v>66</v>
      </c>
      <c r="AC7" s="306"/>
      <c r="AD7" s="306"/>
      <c r="AE7" s="728"/>
      <c r="AF7" s="1280"/>
      <c r="AG7" s="1158" t="s">
        <v>66</v>
      </c>
      <c r="AH7" s="1282"/>
      <c r="AI7" s="1158"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8"/>
      <c r="AA8" s="1281"/>
      <c r="AB8" s="1158"/>
      <c r="AC8" s="191"/>
      <c r="AD8" s="191"/>
      <c r="AE8" s="192" t="str">
        <f>AF7&amp;"-"&amp;AH7</f>
        <v>-</v>
      </c>
      <c r="AF8" s="1281"/>
      <c r="AG8" s="1158"/>
      <c r="AH8" s="1283"/>
      <c r="AI8" s="1158"/>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420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421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422</v>
      </c>
      <c r="P20" s="506"/>
      <c r="Q20" s="815"/>
      <c r="R20" s="815"/>
      <c r="S20" s="426"/>
      <c r="T20" s="63" t="s">
        <v>423</v>
      </c>
      <c r="Z20" s="82" t="s">
        <v>424</v>
      </c>
      <c r="AB20" s="82" t="s">
        <v>425</v>
      </c>
      <c r="AC20" s="63" t="s">
        <v>423</v>
      </c>
      <c r="AG20" s="82" t="s">
        <v>426</v>
      </c>
      <c r="AI20" s="82" t="s">
        <v>425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427</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428</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429</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430</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431</v>
      </c>
      <c r="AC34" s="11"/>
      <c r="AD34" s="11"/>
      <c r="AE34" s="11"/>
      <c r="AF34" s="11"/>
      <c r="AG34" s="11"/>
      <c r="AH34" s="11"/>
      <c r="AI34" s="68" t="s">
        <v>431</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65" customHeight="1">
      <c r="Q37" s="28"/>
      <c r="R37" s="28"/>
      <c r="S37" s="1288" t="s">
        <v>88</v>
      </c>
      <c r="T37" s="1237" t="s">
        <v>432</v>
      </c>
      <c r="U37" s="172"/>
      <c r="V37" s="1289" t="s">
        <v>433</v>
      </c>
      <c r="W37" s="1290"/>
      <c r="X37" s="1290"/>
      <c r="Y37" s="1290"/>
      <c r="Z37" s="1290"/>
      <c r="AA37" s="1291"/>
      <c r="AB37" s="1292" t="s">
        <v>434</v>
      </c>
      <c r="AC37" s="1289" t="s">
        <v>433</v>
      </c>
      <c r="AD37" s="1290"/>
      <c r="AE37" s="1290"/>
      <c r="AF37" s="1290"/>
      <c r="AG37" s="1290"/>
      <c r="AH37" s="1291"/>
      <c r="AI37" s="1292" t="s">
        <v>435</v>
      </c>
      <c r="AJ37" s="1295" t="s">
        <v>436</v>
      </c>
      <c r="AK37" s="1148"/>
      <c r="AQ37" s="11">
        <v>14</v>
      </c>
    </row>
    <row r="38" spans="1:43" ht="35.65" customHeight="1">
      <c r="Q38" s="28"/>
      <c r="R38" s="28"/>
      <c r="S38" s="1288"/>
      <c r="T38" s="1237"/>
      <c r="U38" s="607"/>
      <c r="V38" s="340" t="s">
        <v>493</v>
      </c>
      <c r="W38" s="1129" t="s">
        <v>439</v>
      </c>
      <c r="X38" s="1128"/>
      <c r="Y38" s="1129" t="s">
        <v>440</v>
      </c>
      <c r="Z38" s="1135"/>
      <c r="AA38" s="1128"/>
      <c r="AB38" s="1293"/>
      <c r="AC38" s="340" t="s">
        <v>493</v>
      </c>
      <c r="AD38" s="1129" t="s">
        <v>439</v>
      </c>
      <c r="AE38" s="1128"/>
      <c r="AF38" s="1129" t="s">
        <v>440</v>
      </c>
      <c r="AG38" s="1135"/>
      <c r="AH38" s="1128"/>
      <c r="AI38" s="1293"/>
      <c r="AJ38" s="1296"/>
      <c r="AK38" s="1148"/>
      <c r="AQ38" s="11">
        <v>34</v>
      </c>
    </row>
    <row r="39" spans="1:43" ht="35.65" customHeight="1">
      <c r="A39" s="82"/>
      <c r="B39" s="82" t="s">
        <v>141</v>
      </c>
      <c r="C39" s="82" t="s">
        <v>142</v>
      </c>
      <c r="D39" s="82" t="s">
        <v>143</v>
      </c>
      <c r="E39" s="770" t="s">
        <v>441</v>
      </c>
      <c r="F39" s="770" t="s">
        <v>442</v>
      </c>
      <c r="G39" s="770" t="s">
        <v>443</v>
      </c>
      <c r="H39" s="770"/>
      <c r="I39" s="770" t="s">
        <v>494</v>
      </c>
      <c r="J39" s="770" t="s">
        <v>446</v>
      </c>
      <c r="K39" s="770" t="s">
        <v>495</v>
      </c>
      <c r="L39" s="770" t="s">
        <v>422</v>
      </c>
      <c r="Q39" s="28"/>
      <c r="R39" s="28"/>
      <c r="S39" s="1288"/>
      <c r="T39" s="1237"/>
      <c r="U39" s="173"/>
      <c r="V39" s="340" t="s">
        <v>496</v>
      </c>
      <c r="W39" s="39" t="s">
        <v>497</v>
      </c>
      <c r="X39" s="39" t="s">
        <v>498</v>
      </c>
      <c r="Y39" s="39" t="s">
        <v>450</v>
      </c>
      <c r="Z39" s="1242" t="s">
        <v>451</v>
      </c>
      <c r="AA39" s="1255"/>
      <c r="AB39" s="1294"/>
      <c r="AC39" s="340" t="s">
        <v>496</v>
      </c>
      <c r="AD39" s="39" t="s">
        <v>497</v>
      </c>
      <c r="AE39" s="39" t="s">
        <v>498</v>
      </c>
      <c r="AF39" s="39" t="s">
        <v>450</v>
      </c>
      <c r="AG39" s="1242" t="s">
        <v>451</v>
      </c>
      <c r="AH39" s="1255"/>
      <c r="AI39" s="1294"/>
      <c r="AJ39" s="1297"/>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115</v>
      </c>
      <c r="T40" s="726" t="s">
        <v>103</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235</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129</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235</v>
      </c>
      <c r="B42" s="769" t="s">
        <v>236</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402</v>
      </c>
      <c r="AM42" s="69"/>
      <c r="AN42" s="69" t="str">
        <f t="shared" si="1"/>
        <v>Территория действия тарифа</v>
      </c>
      <c r="AO42" s="69"/>
      <c r="AP42" s="69"/>
      <c r="AQ42" s="11">
        <v>23</v>
      </c>
    </row>
    <row r="43" spans="1:43" ht="24" customHeight="1">
      <c r="A43" s="769" t="s">
        <v>235</v>
      </c>
      <c r="B43" s="769" t="s">
        <v>236</v>
      </c>
      <c r="C43" s="769" t="s">
        <v>237</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485</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486</v>
      </c>
      <c r="AM43" s="69"/>
      <c r="AN43" s="69" t="str">
        <f t="shared" si="1"/>
        <v>Наименование централизованной системы холодного водоснабжения</v>
      </c>
      <c r="AO43" s="69"/>
      <c r="AP43" s="69"/>
      <c r="AQ43" s="11">
        <v>23</v>
      </c>
    </row>
    <row r="44" spans="1:43" ht="24" customHeight="1">
      <c r="A44" s="769" t="s">
        <v>235</v>
      </c>
      <c r="B44" s="769" t="s">
        <v>236</v>
      </c>
      <c r="C44" s="769" t="s">
        <v>237</v>
      </c>
      <c r="D44" s="769" t="s">
        <v>500</v>
      </c>
      <c r="E44" s="1276"/>
      <c r="F44" s="1276"/>
      <c r="G44" s="1276"/>
      <c r="H44" s="1276"/>
      <c r="I44" s="1277" t="str">
        <f>S43&amp;".1"</f>
        <v>...1</v>
      </c>
      <c r="J44" s="769"/>
      <c r="K44" s="769"/>
      <c r="L44" s="770"/>
      <c r="P44" s="1279">
        <v>1</v>
      </c>
      <c r="Q44" s="122"/>
      <c r="R44" s="208"/>
      <c r="S44" s="709" t="str">
        <f>$I44</f>
        <v>...1</v>
      </c>
      <c r="T44" s="164" t="s">
        <v>487</v>
      </c>
      <c r="U44" s="171"/>
      <c r="V44" s="1343"/>
      <c r="W44" s="1344"/>
      <c r="X44" s="1344"/>
      <c r="Y44" s="1344"/>
      <c r="Z44" s="1344"/>
      <c r="AA44" s="1344"/>
      <c r="AB44" s="1345"/>
      <c r="AC44" s="1346"/>
      <c r="AD44" s="1347"/>
      <c r="AE44" s="1347"/>
      <c r="AF44" s="1347"/>
      <c r="AG44" s="1347"/>
      <c r="AH44" s="1347"/>
      <c r="AI44" s="1347"/>
      <c r="AJ44" s="1348"/>
      <c r="AK44" s="729" t="s">
        <v>488</v>
      </c>
      <c r="AM44" s="69"/>
      <c r="AN44" s="69" t="str">
        <f t="shared" si="1"/>
        <v>Наименование признака дифференциации</v>
      </c>
      <c r="AO44" s="69"/>
      <c r="AP44" s="69"/>
      <c r="AQ44" s="11">
        <v>23</v>
      </c>
    </row>
    <row r="45" spans="1:43" ht="24" customHeight="1">
      <c r="A45" s="769" t="s">
        <v>235</v>
      </c>
      <c r="B45" s="769" t="s">
        <v>236</v>
      </c>
      <c r="C45" s="769" t="s">
        <v>237</v>
      </c>
      <c r="D45" s="769" t="s">
        <v>500</v>
      </c>
      <c r="E45" s="1276"/>
      <c r="F45" s="1276"/>
      <c r="G45" s="1276"/>
      <c r="H45" s="1276"/>
      <c r="I45" s="1278"/>
      <c r="J45" s="1277" t="str">
        <f>I44&amp;".1"</f>
        <v>...1.1</v>
      </c>
      <c r="K45" s="769"/>
      <c r="L45" s="770" t="s">
        <v>410</v>
      </c>
      <c r="P45" s="1279"/>
      <c r="Q45" s="1279">
        <v>1</v>
      </c>
      <c r="R45" s="209"/>
      <c r="S45" s="709" t="str">
        <f>$J45</f>
        <v>...1.1</v>
      </c>
      <c r="T45" s="165" t="s">
        <v>411</v>
      </c>
      <c r="U45" s="171"/>
      <c r="V45" s="1263"/>
      <c r="W45" s="1264"/>
      <c r="X45" s="1264"/>
      <c r="Y45" s="1264"/>
      <c r="Z45" s="1264"/>
      <c r="AA45" s="1264"/>
      <c r="AB45" s="1265"/>
      <c r="AC45" s="1263"/>
      <c r="AD45" s="1264"/>
      <c r="AE45" s="1264"/>
      <c r="AF45" s="1264"/>
      <c r="AG45" s="1264"/>
      <c r="AH45" s="1264"/>
      <c r="AI45" s="1264"/>
      <c r="AJ45" s="1265"/>
      <c r="AK45" s="753" t="s">
        <v>489</v>
      </c>
      <c r="AM45" s="69"/>
      <c r="AN45" s="69" t="str">
        <f t="shared" si="1"/>
        <v>Группа потребителей</v>
      </c>
      <c r="AO45" s="69"/>
      <c r="AP45" s="69"/>
      <c r="AQ45" s="11">
        <v>23</v>
      </c>
    </row>
    <row r="46" spans="1:43" ht="24" customHeight="1">
      <c r="A46" s="769" t="s">
        <v>235</v>
      </c>
      <c r="B46" s="769" t="s">
        <v>236</v>
      </c>
      <c r="C46" s="769" t="s">
        <v>237</v>
      </c>
      <c r="D46" s="769" t="s">
        <v>500</v>
      </c>
      <c r="E46" s="1276"/>
      <c r="F46" s="1276"/>
      <c r="G46" s="1276"/>
      <c r="H46" s="1276"/>
      <c r="I46" s="1278"/>
      <c r="J46" s="1278"/>
      <c r="K46" s="1277" t="str">
        <f>J45&amp;".1"</f>
        <v>...1.1.1</v>
      </c>
      <c r="L46" s="770"/>
      <c r="P46" s="1279"/>
      <c r="Q46" s="1279"/>
      <c r="R46" s="209">
        <v>1</v>
      </c>
      <c r="S46" s="709" t="str">
        <f>$K46</f>
        <v>...1.1.1</v>
      </c>
      <c r="T46" s="812"/>
      <c r="U46" s="171"/>
      <c r="V46" s="306"/>
      <c r="W46" s="306"/>
      <c r="X46" s="728"/>
      <c r="Y46" s="1280"/>
      <c r="Z46" s="1158" t="s">
        <v>66</v>
      </c>
      <c r="AA46" s="1280"/>
      <c r="AB46" s="1158" t="s">
        <v>66</v>
      </c>
      <c r="AC46" s="306"/>
      <c r="AD46" s="306"/>
      <c r="AE46" s="728"/>
      <c r="AF46" s="1280"/>
      <c r="AG46" s="1158" t="s">
        <v>66</v>
      </c>
      <c r="AH46" s="1282"/>
      <c r="AI46" s="1158" t="s">
        <v>66</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235</v>
      </c>
      <c r="B47" s="769" t="s">
        <v>236</v>
      </c>
      <c r="C47" s="769" t="s">
        <v>237</v>
      </c>
      <c r="D47" s="769" t="s">
        <v>500</v>
      </c>
      <c r="E47" s="1276"/>
      <c r="F47" s="1276"/>
      <c r="G47" s="1276"/>
      <c r="H47" s="1276"/>
      <c r="I47" s="1278"/>
      <c r="J47" s="1278"/>
      <c r="K47" s="1277"/>
      <c r="L47" s="770"/>
      <c r="P47" s="1279"/>
      <c r="Q47" s="1279"/>
      <c r="R47" s="209"/>
      <c r="S47" s="65"/>
      <c r="T47" s="171"/>
      <c r="U47" s="171"/>
      <c r="V47" s="191"/>
      <c r="W47" s="191"/>
      <c r="X47" s="192" t="str">
        <f>Y46&amp;"-"&amp;AA46</f>
        <v>-</v>
      </c>
      <c r="Y47" s="1281"/>
      <c r="Z47" s="1158"/>
      <c r="AA47" s="1281"/>
      <c r="AB47" s="1158"/>
      <c r="AC47" s="191"/>
      <c r="AD47" s="191"/>
      <c r="AE47" s="192" t="str">
        <f>AF46&amp;"-"&amp;AH46</f>
        <v>-</v>
      </c>
      <c r="AF47" s="1281"/>
      <c r="AG47" s="1158"/>
      <c r="AH47" s="1283"/>
      <c r="AI47" s="1158"/>
      <c r="AJ47" s="388"/>
      <c r="AK47" s="1349"/>
      <c r="AM47" s="69"/>
      <c r="AN47" s="69" t="str">
        <f t="shared" si="1"/>
        <v/>
      </c>
      <c r="AO47" s="69"/>
      <c r="AP47" s="69"/>
      <c r="AQ47" s="11">
        <v>0</v>
      </c>
    </row>
    <row r="48" spans="1:43" ht="21" customHeight="1">
      <c r="A48" s="769" t="s">
        <v>235</v>
      </c>
      <c r="B48" s="769" t="s">
        <v>236</v>
      </c>
      <c r="C48" s="769" t="s">
        <v>237</v>
      </c>
      <c r="D48" s="769" t="s">
        <v>500</v>
      </c>
      <c r="E48" s="1276"/>
      <c r="F48" s="1276"/>
      <c r="G48" s="1276"/>
      <c r="H48" s="1276"/>
      <c r="I48" s="1278"/>
      <c r="J48" s="1277"/>
      <c r="K48" s="769"/>
      <c r="L48" s="770"/>
      <c r="P48" s="1279"/>
      <c r="Q48" s="1279"/>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235</v>
      </c>
      <c r="B49" s="769" t="s">
        <v>236</v>
      </c>
      <c r="C49" s="769" t="s">
        <v>237</v>
      </c>
      <c r="D49" s="769" t="s">
        <v>500</v>
      </c>
      <c r="E49" s="1276"/>
      <c r="F49" s="1276"/>
      <c r="G49" s="1276"/>
      <c r="H49" s="1276"/>
      <c r="I49" s="1277"/>
      <c r="J49" s="769"/>
      <c r="K49" s="769"/>
      <c r="L49" s="770"/>
      <c r="P49" s="127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235</v>
      </c>
      <c r="B50" s="769" t="s">
        <v>236</v>
      </c>
      <c r="C50" s="769" t="s">
        <v>237</v>
      </c>
      <c r="D50" s="769" t="s">
        <v>500</v>
      </c>
      <c r="E50" s="1276"/>
      <c r="F50" s="1276"/>
      <c r="G50" s="1276"/>
      <c r="H50" s="1275"/>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235</v>
      </c>
      <c r="B51" s="145" t="s">
        <v>236</v>
      </c>
      <c r="C51" s="145"/>
      <c r="D51" s="145"/>
      <c r="E51" s="1276"/>
      <c r="F51" s="1275"/>
      <c r="G51" s="145"/>
      <c r="H51" s="145"/>
      <c r="I51" s="145"/>
      <c r="J51" s="145"/>
      <c r="K51" s="145"/>
      <c r="L51" s="346"/>
      <c r="M51" s="759"/>
      <c r="N51" s="759"/>
      <c r="P51" s="104"/>
      <c r="Q51" s="755"/>
      <c r="R51" s="104"/>
      <c r="S51" s="760"/>
      <c r="T51" s="762" t="s">
        <v>419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235</v>
      </c>
      <c r="B52" s="145"/>
      <c r="C52" s="145"/>
      <c r="D52" s="145"/>
      <c r="E52" s="1275"/>
      <c r="F52" s="145"/>
      <c r="G52" s="145"/>
      <c r="H52" s="145"/>
      <c r="I52" s="145"/>
      <c r="J52" s="145"/>
      <c r="K52" s="145"/>
      <c r="L52" s="346"/>
      <c r="M52" s="759"/>
      <c r="N52" s="759"/>
      <c r="P52" s="104"/>
      <c r="Q52" s="755"/>
      <c r="R52" s="104"/>
      <c r="S52" s="760"/>
      <c r="T52" s="762" t="s">
        <v>420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657DF-86C7-4EC4-81D6-B0153F4C71AA}">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402</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485</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486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487</v>
      </c>
      <c r="U5" s="171"/>
      <c r="V5" s="1343"/>
      <c r="W5" s="1344"/>
      <c r="X5" s="1344"/>
      <c r="Y5" s="1344"/>
      <c r="Z5" s="1344"/>
      <c r="AA5" s="1344"/>
      <c r="AB5" s="1345"/>
      <c r="AC5" s="1346"/>
      <c r="AD5" s="1347"/>
      <c r="AE5" s="1347"/>
      <c r="AF5" s="1347"/>
      <c r="AG5" s="1347"/>
      <c r="AH5" s="1347"/>
      <c r="AI5" s="1347"/>
      <c r="AJ5" s="1348"/>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410</v>
      </c>
      <c r="P6" s="1279"/>
      <c r="Q6" s="1279">
        <v>1</v>
      </c>
      <c r="R6" s="209"/>
      <c r="S6" s="709" t="e">
        <f>$J6</f>
        <v>#N/A</v>
      </c>
      <c r="T6" s="165" t="s">
        <v>411</v>
      </c>
      <c r="U6" s="171"/>
      <c r="V6" s="1263"/>
      <c r="W6" s="1264"/>
      <c r="X6" s="1264"/>
      <c r="Y6" s="1264"/>
      <c r="Z6" s="1264"/>
      <c r="AA6" s="1264"/>
      <c r="AB6" s="1265"/>
      <c r="AC6" s="1263"/>
      <c r="AD6" s="1264"/>
      <c r="AE6" s="1264"/>
      <c r="AF6" s="1264"/>
      <c r="AG6" s="1264"/>
      <c r="AH6" s="1264"/>
      <c r="AI6" s="1264"/>
      <c r="AJ6" s="1265"/>
      <c r="AK6" s="753" t="s">
        <v>489</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8" t="s">
        <v>66</v>
      </c>
      <c r="AA7" s="1280"/>
      <c r="AB7" s="1158" t="s">
        <v>66</v>
      </c>
      <c r="AC7" s="306"/>
      <c r="AD7" s="306"/>
      <c r="AE7" s="728"/>
      <c r="AF7" s="1280"/>
      <c r="AG7" s="1158" t="s">
        <v>66</v>
      </c>
      <c r="AH7" s="1282"/>
      <c r="AI7" s="1158"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8"/>
      <c r="AA8" s="1281"/>
      <c r="AB8" s="1158"/>
      <c r="AC8" s="191"/>
      <c r="AD8" s="191"/>
      <c r="AE8" s="192" t="str">
        <f>AF7&amp;"-"&amp;AH7</f>
        <v>-</v>
      </c>
      <c r="AF8" s="1281"/>
      <c r="AG8" s="1158"/>
      <c r="AH8" s="1283"/>
      <c r="AI8" s="1158"/>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420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421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422</v>
      </c>
      <c r="P20" s="506"/>
      <c r="Q20" s="815"/>
      <c r="R20" s="815"/>
      <c r="S20" s="426"/>
      <c r="T20" s="63" t="s">
        <v>423</v>
      </c>
      <c r="Z20" s="82" t="s">
        <v>424</v>
      </c>
      <c r="AB20" s="82" t="s">
        <v>425</v>
      </c>
      <c r="AC20" s="63" t="s">
        <v>423</v>
      </c>
      <c r="AG20" s="82" t="s">
        <v>426</v>
      </c>
      <c r="AI20" s="82" t="s">
        <v>425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427</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428</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429</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430</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431</v>
      </c>
      <c r="AC34" s="11"/>
      <c r="AD34" s="11"/>
      <c r="AE34" s="11"/>
      <c r="AF34" s="11"/>
      <c r="AG34" s="11"/>
      <c r="AH34" s="11"/>
      <c r="AI34" s="68" t="s">
        <v>431</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65" customHeight="1">
      <c r="Q37" s="28"/>
      <c r="R37" s="28"/>
      <c r="S37" s="1288" t="s">
        <v>88</v>
      </c>
      <c r="T37" s="1237" t="s">
        <v>432</v>
      </c>
      <c r="U37" s="172"/>
      <c r="V37" s="1289" t="s">
        <v>433</v>
      </c>
      <c r="W37" s="1290"/>
      <c r="X37" s="1290"/>
      <c r="Y37" s="1290"/>
      <c r="Z37" s="1290"/>
      <c r="AA37" s="1291"/>
      <c r="AB37" s="1292" t="s">
        <v>434</v>
      </c>
      <c r="AC37" s="1289" t="s">
        <v>433</v>
      </c>
      <c r="AD37" s="1290"/>
      <c r="AE37" s="1290"/>
      <c r="AF37" s="1290"/>
      <c r="AG37" s="1290"/>
      <c r="AH37" s="1291"/>
      <c r="AI37" s="1292" t="s">
        <v>435</v>
      </c>
      <c r="AJ37" s="1295" t="s">
        <v>436</v>
      </c>
      <c r="AK37" s="1148"/>
      <c r="AQ37" s="11">
        <v>14</v>
      </c>
    </row>
    <row r="38" spans="1:43" ht="35.65" customHeight="1">
      <c r="Q38" s="28"/>
      <c r="R38" s="28"/>
      <c r="S38" s="1288"/>
      <c r="T38" s="1237"/>
      <c r="U38" s="607"/>
      <c r="V38" s="340" t="s">
        <v>493</v>
      </c>
      <c r="W38" s="1129" t="s">
        <v>439</v>
      </c>
      <c r="X38" s="1128"/>
      <c r="Y38" s="1129" t="s">
        <v>440</v>
      </c>
      <c r="Z38" s="1135"/>
      <c r="AA38" s="1128"/>
      <c r="AB38" s="1293"/>
      <c r="AC38" s="340" t="s">
        <v>493</v>
      </c>
      <c r="AD38" s="1129" t="s">
        <v>439</v>
      </c>
      <c r="AE38" s="1128"/>
      <c r="AF38" s="1129" t="s">
        <v>440</v>
      </c>
      <c r="AG38" s="1135"/>
      <c r="AH38" s="1128"/>
      <c r="AI38" s="1293"/>
      <c r="AJ38" s="1296"/>
      <c r="AK38" s="1148"/>
      <c r="AQ38" s="11">
        <v>34</v>
      </c>
    </row>
    <row r="39" spans="1:43" ht="35.65" customHeight="1">
      <c r="A39" s="82"/>
      <c r="B39" s="82" t="s">
        <v>141</v>
      </c>
      <c r="C39" s="82" t="s">
        <v>142</v>
      </c>
      <c r="D39" s="82" t="s">
        <v>143</v>
      </c>
      <c r="E39" s="770" t="s">
        <v>441</v>
      </c>
      <c r="F39" s="770" t="s">
        <v>442</v>
      </c>
      <c r="G39" s="770" t="s">
        <v>443</v>
      </c>
      <c r="H39" s="770"/>
      <c r="I39" s="770" t="s">
        <v>494</v>
      </c>
      <c r="J39" s="770" t="s">
        <v>446</v>
      </c>
      <c r="K39" s="770" t="s">
        <v>495</v>
      </c>
      <c r="L39" s="770" t="s">
        <v>422</v>
      </c>
      <c r="Q39" s="28"/>
      <c r="R39" s="28"/>
      <c r="S39" s="1288"/>
      <c r="T39" s="1237"/>
      <c r="U39" s="173"/>
      <c r="V39" s="340" t="s">
        <v>496</v>
      </c>
      <c r="W39" s="39" t="s">
        <v>497</v>
      </c>
      <c r="X39" s="39" t="s">
        <v>498</v>
      </c>
      <c r="Y39" s="39" t="s">
        <v>450</v>
      </c>
      <c r="Z39" s="1242" t="s">
        <v>451</v>
      </c>
      <c r="AA39" s="1255"/>
      <c r="AB39" s="1294"/>
      <c r="AC39" s="340" t="s">
        <v>496</v>
      </c>
      <c r="AD39" s="39" t="s">
        <v>497</v>
      </c>
      <c r="AE39" s="39" t="s">
        <v>498</v>
      </c>
      <c r="AF39" s="39" t="s">
        <v>450</v>
      </c>
      <c r="AG39" s="1242" t="s">
        <v>451</v>
      </c>
      <c r="AH39" s="1255"/>
      <c r="AI39" s="1294"/>
      <c r="AJ39" s="1297"/>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115</v>
      </c>
      <c r="T40" s="726" t="s">
        <v>103</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240</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129</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240</v>
      </c>
      <c r="B42" s="769" t="s">
        <v>241</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402</v>
      </c>
      <c r="AM42" s="69"/>
      <c r="AN42" s="69" t="str">
        <f t="shared" si="1"/>
        <v>Территория действия тарифа</v>
      </c>
      <c r="AO42" s="69"/>
      <c r="AP42" s="69"/>
      <c r="AQ42" s="11">
        <v>23</v>
      </c>
    </row>
    <row r="43" spans="1:43" ht="24" customHeight="1">
      <c r="A43" s="769" t="s">
        <v>240</v>
      </c>
      <c r="B43" s="769" t="s">
        <v>241</v>
      </c>
      <c r="C43" s="769" t="s">
        <v>242</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485</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486</v>
      </c>
      <c r="AM43" s="69"/>
      <c r="AN43" s="69" t="str">
        <f t="shared" si="1"/>
        <v>Наименование централизованной системы холодного водоснабжения</v>
      </c>
      <c r="AO43" s="69"/>
      <c r="AP43" s="69"/>
      <c r="AQ43" s="11">
        <v>23</v>
      </c>
    </row>
    <row r="44" spans="1:43" ht="24" customHeight="1">
      <c r="A44" s="769" t="s">
        <v>240</v>
      </c>
      <c r="B44" s="769" t="s">
        <v>241</v>
      </c>
      <c r="C44" s="769" t="s">
        <v>242</v>
      </c>
      <c r="D44" s="769" t="s">
        <v>501</v>
      </c>
      <c r="E44" s="1276"/>
      <c r="F44" s="1276"/>
      <c r="G44" s="1276"/>
      <c r="H44" s="1276"/>
      <c r="I44" s="1277" t="str">
        <f>S43&amp;".1"</f>
        <v>...1</v>
      </c>
      <c r="J44" s="769"/>
      <c r="K44" s="769"/>
      <c r="L44" s="770"/>
      <c r="P44" s="1279">
        <v>1</v>
      </c>
      <c r="Q44" s="122"/>
      <c r="R44" s="208"/>
      <c r="S44" s="709" t="str">
        <f>$I44</f>
        <v>...1</v>
      </c>
      <c r="T44" s="164" t="s">
        <v>487</v>
      </c>
      <c r="U44" s="171"/>
      <c r="V44" s="1343"/>
      <c r="W44" s="1344"/>
      <c r="X44" s="1344"/>
      <c r="Y44" s="1344"/>
      <c r="Z44" s="1344"/>
      <c r="AA44" s="1344"/>
      <c r="AB44" s="1345"/>
      <c r="AC44" s="1346"/>
      <c r="AD44" s="1347"/>
      <c r="AE44" s="1347"/>
      <c r="AF44" s="1347"/>
      <c r="AG44" s="1347"/>
      <c r="AH44" s="1347"/>
      <c r="AI44" s="1347"/>
      <c r="AJ44" s="1348"/>
      <c r="AK44" s="729" t="s">
        <v>488</v>
      </c>
      <c r="AM44" s="69"/>
      <c r="AN44" s="69" t="str">
        <f t="shared" si="1"/>
        <v>Наименование признака дифференциации</v>
      </c>
      <c r="AO44" s="69"/>
      <c r="AP44" s="69"/>
      <c r="AQ44" s="11">
        <v>23</v>
      </c>
    </row>
    <row r="45" spans="1:43" ht="24" customHeight="1">
      <c r="A45" s="769" t="s">
        <v>240</v>
      </c>
      <c r="B45" s="769" t="s">
        <v>241</v>
      </c>
      <c r="C45" s="769" t="s">
        <v>242</v>
      </c>
      <c r="D45" s="769" t="s">
        <v>501</v>
      </c>
      <c r="E45" s="1276"/>
      <c r="F45" s="1276"/>
      <c r="G45" s="1276"/>
      <c r="H45" s="1276"/>
      <c r="I45" s="1278"/>
      <c r="J45" s="1277" t="str">
        <f>I44&amp;".1"</f>
        <v>...1.1</v>
      </c>
      <c r="K45" s="769"/>
      <c r="L45" s="770" t="s">
        <v>410</v>
      </c>
      <c r="P45" s="1279"/>
      <c r="Q45" s="1279">
        <v>1</v>
      </c>
      <c r="R45" s="209"/>
      <c r="S45" s="709" t="str">
        <f>$J45</f>
        <v>...1.1</v>
      </c>
      <c r="T45" s="165" t="s">
        <v>411</v>
      </c>
      <c r="U45" s="171"/>
      <c r="V45" s="1263"/>
      <c r="W45" s="1264"/>
      <c r="X45" s="1264"/>
      <c r="Y45" s="1264"/>
      <c r="Z45" s="1264"/>
      <c r="AA45" s="1264"/>
      <c r="AB45" s="1265"/>
      <c r="AC45" s="1263"/>
      <c r="AD45" s="1264"/>
      <c r="AE45" s="1264"/>
      <c r="AF45" s="1264"/>
      <c r="AG45" s="1264"/>
      <c r="AH45" s="1264"/>
      <c r="AI45" s="1264"/>
      <c r="AJ45" s="1265"/>
      <c r="AK45" s="753" t="s">
        <v>489</v>
      </c>
      <c r="AM45" s="69"/>
      <c r="AN45" s="69" t="str">
        <f t="shared" si="1"/>
        <v>Группа потребителей</v>
      </c>
      <c r="AO45" s="69"/>
      <c r="AP45" s="69"/>
      <c r="AQ45" s="11">
        <v>23</v>
      </c>
    </row>
    <row r="46" spans="1:43" ht="24" customHeight="1">
      <c r="A46" s="769" t="s">
        <v>240</v>
      </c>
      <c r="B46" s="769" t="s">
        <v>241</v>
      </c>
      <c r="C46" s="769" t="s">
        <v>242</v>
      </c>
      <c r="D46" s="769" t="s">
        <v>501</v>
      </c>
      <c r="E46" s="1276"/>
      <c r="F46" s="1276"/>
      <c r="G46" s="1276"/>
      <c r="H46" s="1276"/>
      <c r="I46" s="1278"/>
      <c r="J46" s="1278"/>
      <c r="K46" s="1277" t="str">
        <f>J45&amp;".1"</f>
        <v>...1.1.1</v>
      </c>
      <c r="L46" s="770"/>
      <c r="P46" s="1279"/>
      <c r="Q46" s="1279"/>
      <c r="R46" s="209">
        <v>1</v>
      </c>
      <c r="S46" s="709" t="str">
        <f>$K46</f>
        <v>...1.1.1</v>
      </c>
      <c r="T46" s="812"/>
      <c r="U46" s="171"/>
      <c r="V46" s="306"/>
      <c r="W46" s="306"/>
      <c r="X46" s="728"/>
      <c r="Y46" s="1280"/>
      <c r="Z46" s="1158" t="s">
        <v>66</v>
      </c>
      <c r="AA46" s="1280"/>
      <c r="AB46" s="1158" t="s">
        <v>66</v>
      </c>
      <c r="AC46" s="306"/>
      <c r="AD46" s="306"/>
      <c r="AE46" s="728"/>
      <c r="AF46" s="1280"/>
      <c r="AG46" s="1158" t="s">
        <v>66</v>
      </c>
      <c r="AH46" s="1282"/>
      <c r="AI46" s="1158" t="s">
        <v>66</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240</v>
      </c>
      <c r="B47" s="769" t="s">
        <v>241</v>
      </c>
      <c r="C47" s="769" t="s">
        <v>242</v>
      </c>
      <c r="D47" s="769" t="s">
        <v>501</v>
      </c>
      <c r="E47" s="1276"/>
      <c r="F47" s="1276"/>
      <c r="G47" s="1276"/>
      <c r="H47" s="1276"/>
      <c r="I47" s="1278"/>
      <c r="J47" s="1278"/>
      <c r="K47" s="1277"/>
      <c r="L47" s="770"/>
      <c r="P47" s="1279"/>
      <c r="Q47" s="1279"/>
      <c r="R47" s="209"/>
      <c r="S47" s="65"/>
      <c r="T47" s="171"/>
      <c r="U47" s="171"/>
      <c r="V47" s="191"/>
      <c r="W47" s="191"/>
      <c r="X47" s="192" t="str">
        <f>Y46&amp;"-"&amp;AA46</f>
        <v>-</v>
      </c>
      <c r="Y47" s="1281"/>
      <c r="Z47" s="1158"/>
      <c r="AA47" s="1281"/>
      <c r="AB47" s="1158"/>
      <c r="AC47" s="191"/>
      <c r="AD47" s="191"/>
      <c r="AE47" s="192" t="str">
        <f>AF46&amp;"-"&amp;AH46</f>
        <v>-</v>
      </c>
      <c r="AF47" s="1281"/>
      <c r="AG47" s="1158"/>
      <c r="AH47" s="1283"/>
      <c r="AI47" s="1158"/>
      <c r="AJ47" s="388"/>
      <c r="AK47" s="1349"/>
      <c r="AM47" s="69"/>
      <c r="AN47" s="69" t="str">
        <f t="shared" si="1"/>
        <v/>
      </c>
      <c r="AO47" s="69"/>
      <c r="AP47" s="69"/>
      <c r="AQ47" s="11">
        <v>0</v>
      </c>
    </row>
    <row r="48" spans="1:43" ht="21" customHeight="1">
      <c r="A48" s="769" t="s">
        <v>240</v>
      </c>
      <c r="B48" s="769" t="s">
        <v>241</v>
      </c>
      <c r="C48" s="769" t="s">
        <v>242</v>
      </c>
      <c r="D48" s="769" t="s">
        <v>501</v>
      </c>
      <c r="E48" s="1276"/>
      <c r="F48" s="1276"/>
      <c r="G48" s="1276"/>
      <c r="H48" s="1276"/>
      <c r="I48" s="1278"/>
      <c r="J48" s="1277"/>
      <c r="K48" s="769"/>
      <c r="L48" s="770"/>
      <c r="P48" s="1279"/>
      <c r="Q48" s="1279"/>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240</v>
      </c>
      <c r="B49" s="769" t="s">
        <v>241</v>
      </c>
      <c r="C49" s="769" t="s">
        <v>242</v>
      </c>
      <c r="D49" s="769" t="s">
        <v>501</v>
      </c>
      <c r="E49" s="1276"/>
      <c r="F49" s="1276"/>
      <c r="G49" s="1276"/>
      <c r="H49" s="1276"/>
      <c r="I49" s="1277"/>
      <c r="J49" s="769"/>
      <c r="K49" s="769"/>
      <c r="L49" s="770"/>
      <c r="P49" s="127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240</v>
      </c>
      <c r="B50" s="769" t="s">
        <v>241</v>
      </c>
      <c r="C50" s="769" t="s">
        <v>242</v>
      </c>
      <c r="D50" s="769" t="s">
        <v>501</v>
      </c>
      <c r="E50" s="1276"/>
      <c r="F50" s="1276"/>
      <c r="G50" s="1276"/>
      <c r="H50" s="1275"/>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240</v>
      </c>
      <c r="B51" s="145" t="s">
        <v>241</v>
      </c>
      <c r="C51" s="145"/>
      <c r="D51" s="145"/>
      <c r="E51" s="1276"/>
      <c r="F51" s="1275"/>
      <c r="G51" s="145"/>
      <c r="H51" s="145"/>
      <c r="I51" s="145"/>
      <c r="J51" s="145"/>
      <c r="K51" s="145"/>
      <c r="L51" s="346"/>
      <c r="M51" s="759"/>
      <c r="N51" s="759"/>
      <c r="P51" s="104"/>
      <c r="Q51" s="755"/>
      <c r="R51" s="104"/>
      <c r="S51" s="760"/>
      <c r="T51" s="762" t="s">
        <v>419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240</v>
      </c>
      <c r="B52" s="145"/>
      <c r="C52" s="145"/>
      <c r="D52" s="145"/>
      <c r="E52" s="1275"/>
      <c r="F52" s="145"/>
      <c r="G52" s="145"/>
      <c r="H52" s="145"/>
      <c r="I52" s="145"/>
      <c r="J52" s="145"/>
      <c r="K52" s="145"/>
      <c r="L52" s="346"/>
      <c r="M52" s="759"/>
      <c r="N52" s="759"/>
      <c r="P52" s="104"/>
      <c r="Q52" s="755"/>
      <c r="R52" s="104"/>
      <c r="S52" s="760"/>
      <c r="T52" s="762" t="s">
        <v>420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3BC53-C5DE-A14C-9926-B3D3461993F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402</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485</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486</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487</v>
      </c>
      <c r="U5" s="171"/>
      <c r="V5" s="1343"/>
      <c r="W5" s="1344"/>
      <c r="X5" s="1344"/>
      <c r="Y5" s="1344"/>
      <c r="Z5" s="1344"/>
      <c r="AA5" s="1344"/>
      <c r="AB5" s="1345"/>
      <c r="AC5" s="1346"/>
      <c r="AD5" s="1347"/>
      <c r="AE5" s="1347"/>
      <c r="AF5" s="1347"/>
      <c r="AG5" s="1347"/>
      <c r="AH5" s="1347"/>
      <c r="AI5" s="1347"/>
      <c r="AJ5" s="1348"/>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410</v>
      </c>
      <c r="P6" s="1279"/>
      <c r="Q6" s="1279">
        <v>1</v>
      </c>
      <c r="R6" s="209"/>
      <c r="S6" s="709" t="e">
        <f>$J6</f>
        <v>#N/A</v>
      </c>
      <c r="T6" s="165" t="s">
        <v>411</v>
      </c>
      <c r="U6" s="171"/>
      <c r="V6" s="1263"/>
      <c r="W6" s="1264"/>
      <c r="X6" s="1264"/>
      <c r="Y6" s="1264"/>
      <c r="Z6" s="1264"/>
      <c r="AA6" s="1264"/>
      <c r="AB6" s="1265"/>
      <c r="AC6" s="1263"/>
      <c r="AD6" s="1264"/>
      <c r="AE6" s="1264"/>
      <c r="AF6" s="1264"/>
      <c r="AG6" s="1264"/>
      <c r="AH6" s="1264"/>
      <c r="AI6" s="1264"/>
      <c r="AJ6" s="1265"/>
      <c r="AK6" s="753" t="s">
        <v>489</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8" t="s">
        <v>66</v>
      </c>
      <c r="AA7" s="1280"/>
      <c r="AB7" s="1158" t="s">
        <v>66</v>
      </c>
      <c r="AC7" s="306"/>
      <c r="AD7" s="306"/>
      <c r="AE7" s="728"/>
      <c r="AF7" s="1280"/>
      <c r="AG7" s="1158" t="s">
        <v>66</v>
      </c>
      <c r="AH7" s="1282"/>
      <c r="AI7" s="1158"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8"/>
      <c r="AA8" s="1281"/>
      <c r="AB8" s="1158"/>
      <c r="AC8" s="191"/>
      <c r="AD8" s="191"/>
      <c r="AE8" s="192" t="str">
        <f>AF7&amp;"-"&amp;AH7</f>
        <v>-</v>
      </c>
      <c r="AF8" s="1281"/>
      <c r="AG8" s="1158"/>
      <c r="AH8" s="1283"/>
      <c r="AI8" s="1158"/>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420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421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422</v>
      </c>
      <c r="P20" s="506"/>
      <c r="Q20" s="815"/>
      <c r="R20" s="815"/>
      <c r="S20" s="426"/>
      <c r="T20" s="63" t="s">
        <v>423</v>
      </c>
      <c r="Z20" s="82" t="s">
        <v>424</v>
      </c>
      <c r="AB20" s="82" t="s">
        <v>425</v>
      </c>
      <c r="AC20" s="63" t="s">
        <v>423</v>
      </c>
      <c r="AG20" s="82" t="s">
        <v>426</v>
      </c>
      <c r="AI20" s="82" t="s">
        <v>425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427</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428</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429</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430</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431</v>
      </c>
      <c r="AC34" s="11"/>
      <c r="AD34" s="11"/>
      <c r="AE34" s="11"/>
      <c r="AF34" s="11"/>
      <c r="AG34" s="11"/>
      <c r="AH34" s="11"/>
      <c r="AI34" s="68" t="s">
        <v>431</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65" customHeight="1">
      <c r="Q37" s="28"/>
      <c r="R37" s="28"/>
      <c r="S37" s="1288" t="s">
        <v>88</v>
      </c>
      <c r="T37" s="1237" t="s">
        <v>432</v>
      </c>
      <c r="U37" s="172"/>
      <c r="V37" s="1289" t="s">
        <v>433</v>
      </c>
      <c r="W37" s="1290"/>
      <c r="X37" s="1290"/>
      <c r="Y37" s="1290"/>
      <c r="Z37" s="1290"/>
      <c r="AA37" s="1291"/>
      <c r="AB37" s="1292" t="s">
        <v>434</v>
      </c>
      <c r="AC37" s="1289" t="s">
        <v>433</v>
      </c>
      <c r="AD37" s="1290"/>
      <c r="AE37" s="1290"/>
      <c r="AF37" s="1290"/>
      <c r="AG37" s="1290"/>
      <c r="AH37" s="1291"/>
      <c r="AI37" s="1292" t="s">
        <v>435</v>
      </c>
      <c r="AJ37" s="1295" t="s">
        <v>436</v>
      </c>
      <c r="AK37" s="1148"/>
      <c r="AQ37" s="11">
        <v>14</v>
      </c>
    </row>
    <row r="38" spans="1:43" ht="35.65" customHeight="1">
      <c r="Q38" s="28"/>
      <c r="R38" s="28"/>
      <c r="S38" s="1288"/>
      <c r="T38" s="1237"/>
      <c r="U38" s="607"/>
      <c r="V38" s="340" t="s">
        <v>493</v>
      </c>
      <c r="W38" s="1129" t="s">
        <v>439</v>
      </c>
      <c r="X38" s="1128"/>
      <c r="Y38" s="1129" t="s">
        <v>440</v>
      </c>
      <c r="Z38" s="1135"/>
      <c r="AA38" s="1128"/>
      <c r="AB38" s="1293"/>
      <c r="AC38" s="340" t="s">
        <v>493</v>
      </c>
      <c r="AD38" s="1129" t="s">
        <v>439</v>
      </c>
      <c r="AE38" s="1128"/>
      <c r="AF38" s="1129" t="s">
        <v>440</v>
      </c>
      <c r="AG38" s="1135"/>
      <c r="AH38" s="1128"/>
      <c r="AI38" s="1293"/>
      <c r="AJ38" s="1296"/>
      <c r="AK38" s="1148"/>
      <c r="AQ38" s="11">
        <v>34</v>
      </c>
    </row>
    <row r="39" spans="1:43" ht="35.65" customHeight="1">
      <c r="A39" s="82"/>
      <c r="B39" s="82" t="s">
        <v>141</v>
      </c>
      <c r="C39" s="82" t="s">
        <v>142</v>
      </c>
      <c r="D39" s="82" t="s">
        <v>143</v>
      </c>
      <c r="E39" s="770" t="s">
        <v>441</v>
      </c>
      <c r="F39" s="770" t="s">
        <v>442</v>
      </c>
      <c r="G39" s="770" t="s">
        <v>443</v>
      </c>
      <c r="H39" s="770"/>
      <c r="I39" s="770" t="s">
        <v>494</v>
      </c>
      <c r="J39" s="770" t="s">
        <v>446</v>
      </c>
      <c r="K39" s="770" t="s">
        <v>495</v>
      </c>
      <c r="L39" s="770" t="s">
        <v>422</v>
      </c>
      <c r="Q39" s="28"/>
      <c r="R39" s="28"/>
      <c r="S39" s="1288"/>
      <c r="T39" s="1237"/>
      <c r="U39" s="173"/>
      <c r="V39" s="340" t="s">
        <v>496</v>
      </c>
      <c r="W39" s="39" t="s">
        <v>497</v>
      </c>
      <c r="X39" s="39" t="s">
        <v>498</v>
      </c>
      <c r="Y39" s="39" t="s">
        <v>450</v>
      </c>
      <c r="Z39" s="1242" t="s">
        <v>451</v>
      </c>
      <c r="AA39" s="1255"/>
      <c r="AB39" s="1294"/>
      <c r="AC39" s="340" t="s">
        <v>496</v>
      </c>
      <c r="AD39" s="39" t="s">
        <v>497</v>
      </c>
      <c r="AE39" s="39" t="s">
        <v>498</v>
      </c>
      <c r="AF39" s="39" t="s">
        <v>450</v>
      </c>
      <c r="AG39" s="1242" t="s">
        <v>451</v>
      </c>
      <c r="AH39" s="1255"/>
      <c r="AI39" s="1294"/>
      <c r="AJ39" s="1297"/>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115</v>
      </c>
      <c r="T40" s="726" t="s">
        <v>103</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245</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129</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245</v>
      </c>
      <c r="B42" s="769" t="s">
        <v>246</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402</v>
      </c>
      <c r="AM42" s="69"/>
      <c r="AN42" s="69" t="str">
        <f t="shared" si="1"/>
        <v>Территория действия тарифа</v>
      </c>
      <c r="AO42" s="69"/>
      <c r="AP42" s="69"/>
      <c r="AQ42" s="11">
        <v>23</v>
      </c>
    </row>
    <row r="43" spans="1:43" ht="24" customHeight="1">
      <c r="A43" s="769" t="s">
        <v>245</v>
      </c>
      <c r="B43" s="769" t="s">
        <v>246</v>
      </c>
      <c r="C43" s="769" t="s">
        <v>247</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485</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486</v>
      </c>
      <c r="AM43" s="69"/>
      <c r="AN43" s="69" t="str">
        <f t="shared" si="1"/>
        <v>Наименование централизованной системы холодного водоснабжения</v>
      </c>
      <c r="AO43" s="69"/>
      <c r="AP43" s="69"/>
      <c r="AQ43" s="11">
        <v>23</v>
      </c>
    </row>
    <row r="44" spans="1:43" ht="24" customHeight="1">
      <c r="A44" s="769" t="s">
        <v>245</v>
      </c>
      <c r="B44" s="769" t="s">
        <v>246</v>
      </c>
      <c r="C44" s="769" t="s">
        <v>247</v>
      </c>
      <c r="D44" s="769" t="s">
        <v>502</v>
      </c>
      <c r="E44" s="1276"/>
      <c r="F44" s="1276"/>
      <c r="G44" s="1276"/>
      <c r="H44" s="1276"/>
      <c r="I44" s="1277" t="str">
        <f>S43&amp;".1"</f>
        <v>...1</v>
      </c>
      <c r="J44" s="769"/>
      <c r="K44" s="769"/>
      <c r="L44" s="770"/>
      <c r="P44" s="1279">
        <v>1</v>
      </c>
      <c r="Q44" s="122"/>
      <c r="R44" s="208"/>
      <c r="S44" s="709" t="str">
        <f>$I44</f>
        <v>...1</v>
      </c>
      <c r="T44" s="164" t="s">
        <v>487</v>
      </c>
      <c r="U44" s="171"/>
      <c r="V44" s="1343"/>
      <c r="W44" s="1344"/>
      <c r="X44" s="1344"/>
      <c r="Y44" s="1344"/>
      <c r="Z44" s="1344"/>
      <c r="AA44" s="1344"/>
      <c r="AB44" s="1345"/>
      <c r="AC44" s="1346"/>
      <c r="AD44" s="1347"/>
      <c r="AE44" s="1347"/>
      <c r="AF44" s="1347"/>
      <c r="AG44" s="1347"/>
      <c r="AH44" s="1347"/>
      <c r="AI44" s="1347"/>
      <c r="AJ44" s="1348"/>
      <c r="AK44" s="729" t="s">
        <v>488</v>
      </c>
      <c r="AM44" s="69"/>
      <c r="AN44" s="69" t="str">
        <f t="shared" si="1"/>
        <v>Наименование признака дифференциации</v>
      </c>
      <c r="AO44" s="69"/>
      <c r="AP44" s="69"/>
      <c r="AQ44" s="11">
        <v>23</v>
      </c>
    </row>
    <row r="45" spans="1:43" ht="24" customHeight="1">
      <c r="A45" s="769" t="s">
        <v>245</v>
      </c>
      <c r="B45" s="769" t="s">
        <v>246</v>
      </c>
      <c r="C45" s="769" t="s">
        <v>247</v>
      </c>
      <c r="D45" s="769" t="s">
        <v>502</v>
      </c>
      <c r="E45" s="1276"/>
      <c r="F45" s="1276"/>
      <c r="G45" s="1276"/>
      <c r="H45" s="1276"/>
      <c r="I45" s="1278"/>
      <c r="J45" s="1277" t="str">
        <f>I44&amp;".1"</f>
        <v>...1.1</v>
      </c>
      <c r="K45" s="769"/>
      <c r="L45" s="770" t="s">
        <v>410</v>
      </c>
      <c r="P45" s="1279"/>
      <c r="Q45" s="1279">
        <v>1</v>
      </c>
      <c r="R45" s="209"/>
      <c r="S45" s="709" t="str">
        <f>$J45</f>
        <v>...1.1</v>
      </c>
      <c r="T45" s="165" t="s">
        <v>411</v>
      </c>
      <c r="U45" s="171"/>
      <c r="V45" s="1263"/>
      <c r="W45" s="1264"/>
      <c r="X45" s="1264"/>
      <c r="Y45" s="1264"/>
      <c r="Z45" s="1264"/>
      <c r="AA45" s="1264"/>
      <c r="AB45" s="1265"/>
      <c r="AC45" s="1263"/>
      <c r="AD45" s="1264"/>
      <c r="AE45" s="1264"/>
      <c r="AF45" s="1264"/>
      <c r="AG45" s="1264"/>
      <c r="AH45" s="1264"/>
      <c r="AI45" s="1264"/>
      <c r="AJ45" s="1265"/>
      <c r="AK45" s="753" t="s">
        <v>489</v>
      </c>
      <c r="AM45" s="69"/>
      <c r="AN45" s="69" t="str">
        <f t="shared" si="1"/>
        <v>Группа потребителей</v>
      </c>
      <c r="AO45" s="69"/>
      <c r="AP45" s="69"/>
      <c r="AQ45" s="11">
        <v>23</v>
      </c>
    </row>
    <row r="46" spans="1:43" ht="24" customHeight="1">
      <c r="A46" s="769" t="s">
        <v>245</v>
      </c>
      <c r="B46" s="769" t="s">
        <v>246</v>
      </c>
      <c r="C46" s="769" t="s">
        <v>247</v>
      </c>
      <c r="D46" s="769" t="s">
        <v>502</v>
      </c>
      <c r="E46" s="1276"/>
      <c r="F46" s="1276"/>
      <c r="G46" s="1276"/>
      <c r="H46" s="1276"/>
      <c r="I46" s="1278"/>
      <c r="J46" s="1278"/>
      <c r="K46" s="1277" t="str">
        <f>J45&amp;".1"</f>
        <v>...1.1.1</v>
      </c>
      <c r="L46" s="770"/>
      <c r="P46" s="1279"/>
      <c r="Q46" s="1279"/>
      <c r="R46" s="209">
        <v>1</v>
      </c>
      <c r="S46" s="709" t="str">
        <f>$K46</f>
        <v>...1.1.1</v>
      </c>
      <c r="T46" s="812"/>
      <c r="U46" s="171"/>
      <c r="V46" s="306"/>
      <c r="W46" s="306"/>
      <c r="X46" s="728"/>
      <c r="Y46" s="1280"/>
      <c r="Z46" s="1158" t="s">
        <v>66</v>
      </c>
      <c r="AA46" s="1280"/>
      <c r="AB46" s="1158" t="s">
        <v>66</v>
      </c>
      <c r="AC46" s="306"/>
      <c r="AD46" s="306"/>
      <c r="AE46" s="728"/>
      <c r="AF46" s="1280"/>
      <c r="AG46" s="1158" t="s">
        <v>66</v>
      </c>
      <c r="AH46" s="1282"/>
      <c r="AI46" s="1158" t="s">
        <v>66</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245</v>
      </c>
      <c r="B47" s="769" t="s">
        <v>246</v>
      </c>
      <c r="C47" s="769" t="s">
        <v>247</v>
      </c>
      <c r="D47" s="769" t="s">
        <v>502</v>
      </c>
      <c r="E47" s="1276"/>
      <c r="F47" s="1276"/>
      <c r="G47" s="1276"/>
      <c r="H47" s="1276"/>
      <c r="I47" s="1278"/>
      <c r="J47" s="1278"/>
      <c r="K47" s="1277"/>
      <c r="L47" s="770"/>
      <c r="P47" s="1279"/>
      <c r="Q47" s="1279"/>
      <c r="R47" s="209"/>
      <c r="S47" s="65"/>
      <c r="T47" s="171"/>
      <c r="U47" s="171"/>
      <c r="V47" s="191"/>
      <c r="W47" s="191"/>
      <c r="X47" s="192" t="str">
        <f>Y46&amp;"-"&amp;AA46</f>
        <v>-</v>
      </c>
      <c r="Y47" s="1281"/>
      <c r="Z47" s="1158"/>
      <c r="AA47" s="1281"/>
      <c r="AB47" s="1158"/>
      <c r="AC47" s="191"/>
      <c r="AD47" s="191"/>
      <c r="AE47" s="192" t="str">
        <f>AF46&amp;"-"&amp;AH46</f>
        <v>-</v>
      </c>
      <c r="AF47" s="1281"/>
      <c r="AG47" s="1158"/>
      <c r="AH47" s="1283"/>
      <c r="AI47" s="1158"/>
      <c r="AJ47" s="388"/>
      <c r="AK47" s="1349"/>
      <c r="AM47" s="69"/>
      <c r="AN47" s="69" t="str">
        <f t="shared" si="1"/>
        <v/>
      </c>
      <c r="AO47" s="69"/>
      <c r="AP47" s="69"/>
      <c r="AQ47" s="11">
        <v>0</v>
      </c>
    </row>
    <row r="48" spans="1:43" ht="21" customHeight="1">
      <c r="A48" s="769" t="s">
        <v>245</v>
      </c>
      <c r="B48" s="769" t="s">
        <v>246</v>
      </c>
      <c r="C48" s="769" t="s">
        <v>247</v>
      </c>
      <c r="D48" s="769" t="s">
        <v>502</v>
      </c>
      <c r="E48" s="1276"/>
      <c r="F48" s="1276"/>
      <c r="G48" s="1276"/>
      <c r="H48" s="1276"/>
      <c r="I48" s="1278"/>
      <c r="J48" s="1277"/>
      <c r="K48" s="769"/>
      <c r="L48" s="770"/>
      <c r="P48" s="1279"/>
      <c r="Q48" s="1279"/>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245</v>
      </c>
      <c r="B49" s="769" t="s">
        <v>246</v>
      </c>
      <c r="C49" s="769" t="s">
        <v>247</v>
      </c>
      <c r="D49" s="769" t="s">
        <v>502</v>
      </c>
      <c r="E49" s="1276"/>
      <c r="F49" s="1276"/>
      <c r="G49" s="1276"/>
      <c r="H49" s="1276"/>
      <c r="I49" s="1277"/>
      <c r="J49" s="769"/>
      <c r="K49" s="769"/>
      <c r="L49" s="770"/>
      <c r="P49" s="127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245</v>
      </c>
      <c r="B50" s="769" t="s">
        <v>246</v>
      </c>
      <c r="C50" s="769" t="s">
        <v>247</v>
      </c>
      <c r="D50" s="769" t="s">
        <v>502</v>
      </c>
      <c r="E50" s="1276"/>
      <c r="F50" s="1276"/>
      <c r="G50" s="1276"/>
      <c r="H50" s="1275"/>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245</v>
      </c>
      <c r="B51" s="145" t="s">
        <v>246</v>
      </c>
      <c r="C51" s="145"/>
      <c r="D51" s="145"/>
      <c r="E51" s="1276"/>
      <c r="F51" s="1275"/>
      <c r="G51" s="145"/>
      <c r="H51" s="145"/>
      <c r="I51" s="145"/>
      <c r="J51" s="145"/>
      <c r="K51" s="145"/>
      <c r="L51" s="346"/>
      <c r="M51" s="759"/>
      <c r="N51" s="759"/>
      <c r="P51" s="104"/>
      <c r="Q51" s="755"/>
      <c r="R51" s="104"/>
      <c r="S51" s="760"/>
      <c r="T51" s="762" t="s">
        <v>419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245</v>
      </c>
      <c r="B52" s="145"/>
      <c r="C52" s="145"/>
      <c r="D52" s="145"/>
      <c r="E52" s="1275"/>
      <c r="F52" s="145"/>
      <c r="G52" s="145"/>
      <c r="H52" s="145"/>
      <c r="I52" s="145"/>
      <c r="J52" s="145"/>
      <c r="K52" s="145"/>
      <c r="L52" s="346"/>
      <c r="M52" s="759"/>
      <c r="N52" s="759"/>
      <c r="P52" s="104"/>
      <c r="Q52" s="755"/>
      <c r="R52" s="104"/>
      <c r="S52" s="760"/>
      <c r="T52" s="762" t="s">
        <v>420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CB6B7-C285-D771-49A7-D6254E14CED3}">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0.75" hidden="1" customHeight="1">
      <c r="AQ1" s="11" t="s">
        <v>14</v>
      </c>
    </row>
    <row r="2" spans="1:43" ht="21" hidden="1" customHeight="1">
      <c r="A2" s="731"/>
      <c r="B2" s="731"/>
      <c r="C2" s="731"/>
      <c r="D2" s="731"/>
      <c r="E2" s="1301">
        <v>1</v>
      </c>
      <c r="F2" s="731"/>
      <c r="G2" s="731"/>
      <c r="H2" s="731"/>
      <c r="I2" s="731"/>
      <c r="J2" s="731"/>
      <c r="K2" s="731"/>
      <c r="L2" s="754"/>
      <c r="M2" s="342"/>
      <c r="N2" s="342"/>
      <c r="O2" s="342"/>
      <c r="Q2" s="62"/>
      <c r="R2" s="207"/>
      <c r="S2" s="709" t="e">
        <f>INDEX(PT_DIFFERENTIATION_NUM_NTAR,MATCH(A2,PT_DIFFERENTIATION_NTAR_ID,0))</f>
        <v>#N/A</v>
      </c>
      <c r="T2" s="67" t="s">
        <v>129</v>
      </c>
      <c r="U2" s="171"/>
      <c r="V2" s="1270"/>
      <c r="W2" s="1270"/>
      <c r="X2" s="1270"/>
      <c r="Y2" s="1270"/>
      <c r="Z2" s="1270"/>
      <c r="AA2" s="1271"/>
      <c r="AB2" s="1041"/>
      <c r="AC2" s="1270" t="e">
        <f>INDEX(PT_DIFFERENTIATION_NTAR,MATCH(A2,PT_DIFFERENTIATION_NTAR_ID,0))</f>
        <v>#N/A</v>
      </c>
      <c r="AD2" s="1270"/>
      <c r="AE2" s="1270"/>
      <c r="AF2" s="1270"/>
      <c r="AG2" s="1270"/>
      <c r="AH2" s="1270"/>
      <c r="AI2" s="1270"/>
      <c r="AJ2" s="1271"/>
      <c r="AK2" s="729" t="s">
        <v>400</v>
      </c>
      <c r="AM2" s="69"/>
      <c r="AN2" s="69" t="str">
        <f t="shared" ref="AN2:AN14" si="0">IF(T2="","",T2)</f>
        <v>Наименование тарифа</v>
      </c>
      <c r="AO2" s="69"/>
      <c r="AP2" s="69"/>
      <c r="AQ2" s="11">
        <v>0</v>
      </c>
    </row>
    <row r="3" spans="1:43" ht="21" hidden="1" customHeight="1">
      <c r="A3" s="731"/>
      <c r="B3" s="731"/>
      <c r="C3" s="731"/>
      <c r="D3" s="731"/>
      <c r="E3" s="1302"/>
      <c r="F3" s="1301">
        <v>1</v>
      </c>
      <c r="G3" s="731"/>
      <c r="H3" s="731"/>
      <c r="I3" s="731"/>
      <c r="J3" s="731"/>
      <c r="K3" s="731"/>
      <c r="L3" s="754"/>
      <c r="M3" s="342"/>
      <c r="N3" s="342"/>
      <c r="O3" s="342"/>
      <c r="P3" s="301"/>
      <c r="Q3" s="802"/>
      <c r="R3" s="205"/>
      <c r="S3" s="709" t="e">
        <f>INDEX(PT_DIFFERENTIATION_NUM_TER,MATCH(B3,PT_DIFFERENTIATION_TER_ID,0))</f>
        <v>#N/A</v>
      </c>
      <c r="T3" s="177" t="s">
        <v>401</v>
      </c>
      <c r="U3" s="171"/>
      <c r="V3" s="1270"/>
      <c r="W3" s="1270"/>
      <c r="X3" s="1270"/>
      <c r="Y3" s="1270"/>
      <c r="Z3" s="1270"/>
      <c r="AA3" s="1271"/>
      <c r="AB3" s="1041"/>
      <c r="AC3" s="1270" t="e">
        <f>INDEX(PT_DIFFERENTIATION_TER,MATCH(B3,PT_DIFFERENTIATION_TER_ID,0))</f>
        <v>#N/A</v>
      </c>
      <c r="AD3" s="1270"/>
      <c r="AE3" s="1270"/>
      <c r="AF3" s="1270"/>
      <c r="AG3" s="1270"/>
      <c r="AH3" s="1270"/>
      <c r="AI3" s="1270"/>
      <c r="AJ3" s="1271"/>
      <c r="AK3" s="729" t="s">
        <v>402</v>
      </c>
      <c r="AM3" s="69"/>
      <c r="AN3" s="69" t="str">
        <f t="shared" si="0"/>
        <v>Территория действия тарифа</v>
      </c>
      <c r="AO3" s="69"/>
      <c r="AP3" s="69"/>
      <c r="AQ3" s="11">
        <v>0</v>
      </c>
    </row>
    <row r="4" spans="1:43" ht="22.5" hidden="1" customHeight="1">
      <c r="A4" s="731"/>
      <c r="B4" s="731"/>
      <c r="C4" s="731"/>
      <c r="D4" s="731"/>
      <c r="E4" s="1302"/>
      <c r="F4" s="1302"/>
      <c r="G4" s="1301">
        <v>1</v>
      </c>
      <c r="H4" s="731"/>
      <c r="I4" s="731"/>
      <c r="J4" s="731"/>
      <c r="K4" s="731"/>
      <c r="L4" s="754"/>
      <c r="M4" s="342"/>
      <c r="N4" s="342"/>
      <c r="O4" s="342"/>
      <c r="P4" s="131"/>
      <c r="Q4" s="802"/>
      <c r="R4" s="205"/>
      <c r="S4" s="709" t="e">
        <f>INDEX(PT_DIFFERENTIATION_NUM_CS,MATCH(C4,PT_DIFFERENTIATION_CS_ID,0))</f>
        <v>#N/A</v>
      </c>
      <c r="T4" s="178" t="s">
        <v>403</v>
      </c>
      <c r="U4" s="171"/>
      <c r="V4" s="1270"/>
      <c r="W4" s="1270"/>
      <c r="X4" s="1270"/>
      <c r="Y4" s="1270"/>
      <c r="Z4" s="1270"/>
      <c r="AA4" s="1271"/>
      <c r="AB4" s="1041"/>
      <c r="AC4" s="1270" t="e">
        <f>INDEX(PT_DIFFERENTIATION_CS,MATCH(C4,PT_DIFFERENTIATION_CS_ID,0))</f>
        <v>#N/A</v>
      </c>
      <c r="AD4" s="1270"/>
      <c r="AE4" s="1270"/>
      <c r="AF4" s="1270"/>
      <c r="AG4" s="1270"/>
      <c r="AH4" s="1270"/>
      <c r="AI4" s="1270"/>
      <c r="AJ4" s="1271"/>
      <c r="AK4" s="729" t="s">
        <v>404</v>
      </c>
      <c r="AM4" s="69"/>
      <c r="AN4" s="69" t="str">
        <f t="shared" si="0"/>
        <v xml:space="preserve">Наименование системы теплоснабжения </v>
      </c>
      <c r="AO4" s="69"/>
      <c r="AP4" s="69"/>
      <c r="AQ4" s="11">
        <v>0</v>
      </c>
    </row>
    <row r="5" spans="1:43" ht="21" hidden="1" customHeight="1">
      <c r="A5" s="731"/>
      <c r="B5" s="731"/>
      <c r="C5" s="731"/>
      <c r="D5" s="731"/>
      <c r="E5" s="1302"/>
      <c r="F5" s="1302"/>
      <c r="G5" s="1302"/>
      <c r="H5" s="1301">
        <v>1</v>
      </c>
      <c r="I5" s="731"/>
      <c r="J5" s="731"/>
      <c r="K5" s="731"/>
      <c r="L5" s="754"/>
      <c r="M5" s="342"/>
      <c r="N5" s="342"/>
      <c r="O5" s="342"/>
      <c r="P5" s="131"/>
      <c r="Q5" s="802"/>
      <c r="R5" s="205"/>
      <c r="S5" s="709" t="e">
        <f>INDEX(PT_DIFFERENTIATION_NUM_IST_TE,MATCH(D5,PT_DIFFERENTIATION_IST_TE_ID,0))</f>
        <v>#N/A</v>
      </c>
      <c r="T5" s="179" t="s">
        <v>405</v>
      </c>
      <c r="U5" s="171"/>
      <c r="V5" s="1270"/>
      <c r="W5" s="1270"/>
      <c r="X5" s="1270"/>
      <c r="Y5" s="1270"/>
      <c r="Z5" s="1270"/>
      <c r="AA5" s="1271"/>
      <c r="AB5" s="1041"/>
      <c r="AC5" s="1270" t="e">
        <f>INDEX(PT_DIFFERENTIATION_IST_TE,MATCH(D5,PT_DIFFERENTIATION_IST_TE_ID,0))</f>
        <v>#N/A</v>
      </c>
      <c r="AD5" s="1270"/>
      <c r="AE5" s="1270"/>
      <c r="AF5" s="1270"/>
      <c r="AG5" s="1270"/>
      <c r="AH5" s="1270"/>
      <c r="AI5" s="1270"/>
      <c r="AJ5" s="1271"/>
      <c r="AK5" s="729" t="s">
        <v>406</v>
      </c>
      <c r="AM5" s="69"/>
      <c r="AN5" s="69" t="str">
        <f t="shared" si="0"/>
        <v xml:space="preserve">Источник тепловой энергии  </v>
      </c>
      <c r="AO5" s="69"/>
      <c r="AP5" s="69"/>
      <c r="AQ5" s="11">
        <v>0</v>
      </c>
    </row>
    <row r="6" spans="1:43" s="68" customFormat="1" ht="0.75" hidden="1" customHeight="1">
      <c r="A6" s="774"/>
      <c r="B6" s="774"/>
      <c r="C6" s="774"/>
      <c r="D6" s="774"/>
      <c r="E6" s="1302"/>
      <c r="F6" s="1302"/>
      <c r="G6" s="1302"/>
      <c r="H6" s="1302"/>
      <c r="I6" s="1148" t="e">
        <f>S5&amp;".1"</f>
        <v>#N/A</v>
      </c>
      <c r="J6" s="774"/>
      <c r="K6" s="774"/>
      <c r="L6" s="775" t="s">
        <v>407</v>
      </c>
      <c r="M6" s="722"/>
      <c r="N6" s="722"/>
      <c r="O6" s="722"/>
      <c r="P6" s="1279">
        <v>1</v>
      </c>
      <c r="Q6" s="122"/>
      <c r="R6" s="208"/>
      <c r="S6" s="362"/>
      <c r="T6" s="779"/>
      <c r="U6" s="780"/>
      <c r="V6" s="1307"/>
      <c r="W6" s="1307"/>
      <c r="X6" s="1307"/>
      <c r="Y6" s="1307"/>
      <c r="Z6" s="1307"/>
      <c r="AA6" s="1308"/>
      <c r="AB6" s="1043"/>
      <c r="AC6" s="1307"/>
      <c r="AD6" s="1307"/>
      <c r="AE6" s="1307"/>
      <c r="AF6" s="1307"/>
      <c r="AG6" s="1307"/>
      <c r="AH6" s="1307"/>
      <c r="AI6" s="1307"/>
      <c r="AJ6" s="1308"/>
      <c r="AK6" s="781"/>
      <c r="AM6" s="69"/>
      <c r="AN6" s="69" t="str">
        <f t="shared" si="0"/>
        <v/>
      </c>
      <c r="AO6" s="69"/>
      <c r="AP6" s="69"/>
      <c r="AQ6" s="68">
        <v>0</v>
      </c>
    </row>
    <row r="7" spans="1:43" s="68" customFormat="1" ht="0.75" hidden="1" customHeight="1">
      <c r="A7" s="774"/>
      <c r="B7" s="774"/>
      <c r="C7" s="774"/>
      <c r="D7" s="774"/>
      <c r="E7" s="1302"/>
      <c r="F7" s="1302"/>
      <c r="G7" s="1302"/>
      <c r="H7" s="1302"/>
      <c r="I7" s="1129"/>
      <c r="J7" s="1148" t="e">
        <f>S5&amp;".1"</f>
        <v>#N/A</v>
      </c>
      <c r="K7" s="774"/>
      <c r="L7" s="775"/>
      <c r="M7" s="722"/>
      <c r="N7" s="722"/>
      <c r="O7" s="722"/>
      <c r="P7" s="1279"/>
      <c r="Q7" s="1279">
        <v>1</v>
      </c>
      <c r="R7" s="209"/>
      <c r="S7" s="362"/>
      <c r="T7" s="794"/>
      <c r="U7" s="780"/>
      <c r="V7" s="1307"/>
      <c r="W7" s="1307"/>
      <c r="X7" s="1307"/>
      <c r="Y7" s="1307"/>
      <c r="Z7" s="1307"/>
      <c r="AA7" s="1308"/>
      <c r="AB7" s="1043"/>
      <c r="AC7" s="1307"/>
      <c r="AD7" s="1307"/>
      <c r="AE7" s="1307"/>
      <c r="AF7" s="1307"/>
      <c r="AG7" s="1307"/>
      <c r="AH7" s="1307"/>
      <c r="AI7" s="1307"/>
      <c r="AJ7" s="1308"/>
      <c r="AK7" s="781"/>
      <c r="AM7" s="69"/>
      <c r="AN7" s="69" t="str">
        <f t="shared" si="0"/>
        <v/>
      </c>
      <c r="AO7" s="69"/>
      <c r="AP7" s="69"/>
      <c r="AQ7" s="68">
        <v>0</v>
      </c>
    </row>
    <row r="8" spans="1:43" ht="21" hidden="1" customHeight="1">
      <c r="A8" s="731"/>
      <c r="B8" s="731"/>
      <c r="C8" s="731"/>
      <c r="D8" s="731"/>
      <c r="E8" s="1302"/>
      <c r="F8" s="1302"/>
      <c r="G8" s="1302"/>
      <c r="H8" s="1302"/>
      <c r="I8" s="1129"/>
      <c r="J8" s="1129"/>
      <c r="K8" s="41" t="e">
        <f>S5&amp;".1"</f>
        <v>#N/A</v>
      </c>
      <c r="L8" s="754"/>
      <c r="P8" s="1279"/>
      <c r="Q8" s="1279"/>
      <c r="R8" s="1058">
        <v>1</v>
      </c>
      <c r="S8" s="1045" t="e">
        <f>$K8</f>
        <v>#N/A</v>
      </c>
      <c r="T8" s="1044"/>
      <c r="U8" s="171"/>
      <c r="V8" s="306"/>
      <c r="W8" s="728"/>
      <c r="X8" s="943"/>
      <c r="Y8" s="297" t="s">
        <v>66</v>
      </c>
      <c r="Z8" s="943"/>
      <c r="AA8" s="297" t="s">
        <v>66</v>
      </c>
      <c r="AB8" s="1047"/>
      <c r="AC8" s="1046" t="s">
        <v>22</v>
      </c>
      <c r="AD8" s="306"/>
      <c r="AE8" s="728"/>
      <c r="AF8" s="943"/>
      <c r="AG8" s="297" t="s">
        <v>66</v>
      </c>
      <c r="AH8" s="943"/>
      <c r="AI8" s="297" t="s">
        <v>66</v>
      </c>
      <c r="AJ8" s="766"/>
      <c r="AK8" s="1298" t="s">
        <v>468</v>
      </c>
      <c r="AL8" s="68" t="e">
        <f ca="1">STRCHECKDATE(#REF!)</f>
        <v>#NAME?</v>
      </c>
      <c r="AM8" s="69"/>
      <c r="AN8" s="69" t="str">
        <f t="shared" si="0"/>
        <v/>
      </c>
      <c r="AO8" s="69"/>
      <c r="AP8" s="69"/>
      <c r="AQ8" s="11">
        <v>0</v>
      </c>
    </row>
    <row r="9" spans="1:43" ht="11.25" hidden="1" customHeight="1">
      <c r="A9" s="731"/>
      <c r="B9" s="731"/>
      <c r="C9" s="731"/>
      <c r="D9" s="731"/>
      <c r="E9" s="1302"/>
      <c r="F9" s="1302"/>
      <c r="G9" s="1302"/>
      <c r="H9" s="1302"/>
      <c r="I9" s="1129"/>
      <c r="J9" s="1148"/>
      <c r="K9" s="731"/>
      <c r="L9" s="754"/>
      <c r="P9" s="1279"/>
      <c r="Q9" s="1279"/>
      <c r="R9" s="208"/>
      <c r="S9" s="742"/>
      <c r="T9" s="166" t="s">
        <v>472</v>
      </c>
      <c r="U9" s="213"/>
      <c r="V9" s="213"/>
      <c r="W9" s="213"/>
      <c r="X9" s="213"/>
      <c r="Y9" s="213"/>
      <c r="Z9" s="213"/>
      <c r="AA9" s="213"/>
      <c r="AB9" s="213"/>
      <c r="AC9" s="213"/>
      <c r="AD9" s="213"/>
      <c r="AE9" s="213"/>
      <c r="AF9" s="213"/>
      <c r="AG9" s="213"/>
      <c r="AH9" s="213"/>
      <c r="AI9" s="213"/>
      <c r="AJ9" s="190"/>
      <c r="AK9" s="1300"/>
      <c r="AM9" s="69"/>
      <c r="AN9" s="69" t="str">
        <f t="shared" si="0"/>
        <v>Добавить строку</v>
      </c>
      <c r="AO9" s="69"/>
      <c r="AP9" s="69"/>
      <c r="AQ9" s="11">
        <v>0</v>
      </c>
    </row>
    <row r="10" spans="1:43" s="68" customFormat="1" ht="0.75" hidden="1" customHeight="1">
      <c r="A10" s="774"/>
      <c r="B10" s="774"/>
      <c r="C10" s="774"/>
      <c r="D10" s="774"/>
      <c r="E10" s="1302"/>
      <c r="F10" s="1302"/>
      <c r="G10" s="1302"/>
      <c r="H10" s="1302"/>
      <c r="I10" s="1148"/>
      <c r="J10" s="774"/>
      <c r="K10" s="774"/>
      <c r="L10" s="775"/>
      <c r="M10" s="722"/>
      <c r="N10" s="722"/>
      <c r="O10" s="722"/>
      <c r="P10" s="1279"/>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02"/>
      <c r="F11" s="1302"/>
      <c r="G11" s="1302"/>
      <c r="H11" s="1301"/>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02"/>
      <c r="F12" s="1302"/>
      <c r="G12" s="1301"/>
      <c r="H12" s="774"/>
      <c r="I12" s="774"/>
      <c r="J12" s="774"/>
      <c r="K12" s="774"/>
      <c r="L12" s="775"/>
      <c r="M12" s="776"/>
      <c r="N12" s="776"/>
      <c r="O12" s="203"/>
      <c r="P12" s="104"/>
      <c r="Q12" s="755"/>
      <c r="R12" s="104"/>
      <c r="S12" s="760"/>
      <c r="T12" s="762" t="s">
        <v>418</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02"/>
      <c r="F13" s="1301"/>
      <c r="G13" s="774"/>
      <c r="H13" s="774"/>
      <c r="I13" s="774"/>
      <c r="J13" s="774"/>
      <c r="K13" s="774"/>
      <c r="L13" s="775"/>
      <c r="M13" s="777"/>
      <c r="N13" s="777"/>
      <c r="O13" s="203"/>
      <c r="P13" s="104"/>
      <c r="Q13" s="755"/>
      <c r="R13" s="104"/>
      <c r="S13" s="760"/>
      <c r="T13" s="762" t="s">
        <v>419</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01"/>
      <c r="F14" s="774"/>
      <c r="G14" s="774"/>
      <c r="H14" s="774"/>
      <c r="I14" s="774"/>
      <c r="J14" s="774"/>
      <c r="K14" s="774"/>
      <c r="L14" s="775"/>
      <c r="M14" s="777"/>
      <c r="N14" s="777"/>
      <c r="O14" s="203"/>
      <c r="P14" s="104"/>
      <c r="Q14" s="755"/>
      <c r="R14" s="104"/>
      <c r="S14" s="760"/>
      <c r="T14" s="762" t="s">
        <v>420</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66</v>
      </c>
      <c r="AH16" s="945"/>
      <c r="AI16" s="816" t="s">
        <v>66</v>
      </c>
      <c r="AQ16" s="11">
        <v>0</v>
      </c>
    </row>
    <row r="17" spans="1:43" ht="14.25" hidden="1" customHeight="1">
      <c r="AL17" s="203"/>
      <c r="AM17" s="203"/>
      <c r="AN17" s="203"/>
      <c r="AO17" s="203"/>
      <c r="AP17" s="203"/>
      <c r="AQ17" s="11">
        <v>0</v>
      </c>
    </row>
    <row r="18" spans="1:43" ht="14.25" hidden="1" customHeight="1">
      <c r="O18" s="764" t="s">
        <v>421</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9"/>
      <c r="B20" s="1049"/>
      <c r="C20" s="1049"/>
      <c r="D20" s="1049"/>
      <c r="E20" s="1049"/>
      <c r="F20" s="1049"/>
      <c r="G20" s="1049"/>
      <c r="H20" s="1049"/>
      <c r="I20" s="1049"/>
      <c r="J20" s="1049"/>
      <c r="K20" s="1049"/>
      <c r="L20" s="1049"/>
      <c r="M20" s="1050"/>
      <c r="N20" s="1050"/>
      <c r="O20" s="1049" t="s">
        <v>422</v>
      </c>
      <c r="P20" s="830"/>
      <c r="Q20" s="831"/>
      <c r="R20" s="831"/>
      <c r="Y20" s="829" t="s">
        <v>424</v>
      </c>
      <c r="AA20" s="829" t="s">
        <v>425</v>
      </c>
      <c r="AC20" s="829" t="s">
        <v>474</v>
      </c>
      <c r="AG20" s="829" t="s">
        <v>424</v>
      </c>
      <c r="AI20" s="829" t="s">
        <v>425</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65" customHeight="1">
      <c r="Q23" s="168"/>
      <c r="R23" s="28"/>
      <c r="S23" s="739"/>
      <c r="T23" s="10"/>
      <c r="U23" s="10"/>
      <c r="AQ23" s="11">
        <v>14</v>
      </c>
    </row>
    <row r="24" spans="1:43" ht="39.75" customHeight="1">
      <c r="Q24" s="168"/>
      <c r="R24" s="28"/>
      <c r="S24" s="125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56"/>
      <c r="U24" s="1256"/>
      <c r="V24" s="1256"/>
      <c r="W24" s="1256"/>
      <c r="X24" s="1256"/>
      <c r="Y24" s="1256"/>
      <c r="Z24" s="1256"/>
      <c r="AA24" s="1256"/>
      <c r="AB24" s="1256"/>
      <c r="AC24" s="1256"/>
      <c r="AD24" s="1256"/>
      <c r="AE24" s="1256"/>
      <c r="AF24" s="1256"/>
      <c r="AG24" s="1256"/>
      <c r="AH24" s="1256"/>
      <c r="AI24" s="59"/>
      <c r="AQ24" s="11">
        <v>38</v>
      </c>
    </row>
    <row r="25" spans="1:43" ht="14.65" customHeight="1">
      <c r="Q25" s="16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66" t="s">
        <v>42</v>
      </c>
      <c r="T27" s="1266"/>
      <c r="U27" s="773"/>
      <c r="V27" s="1268" t="str">
        <f>IF(TITLE_NAME_OR_PR_CHANGE="",IF(TITLE_NAME_OR_PR="","",TITLE_NAME_OR_PR),TITLE_NAME_OR_PR_CHANGE)</f>
        <v/>
      </c>
      <c r="W27" s="1268"/>
      <c r="X27" s="1268"/>
      <c r="Y27" s="1268"/>
      <c r="Z27" s="1268"/>
      <c r="AA27" s="11"/>
      <c r="AB27" s="11"/>
      <c r="AC27" s="1268"/>
      <c r="AD27" s="1268"/>
      <c r="AE27" s="1268"/>
      <c r="AF27" s="1268"/>
      <c r="AG27" s="1268"/>
      <c r="AH27" s="1268"/>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66" t="s">
        <v>427</v>
      </c>
      <c r="T28" s="1266"/>
      <c r="U28" s="773"/>
      <c r="V28" s="1267" t="str">
        <f>IF(TITLE_DATE_PR_CHANGE="",IF(TITLE_DATE_PR="","",TITLE_DATE_PR),TITLE_DATE_PR_CHANGE)</f>
        <v/>
      </c>
      <c r="W28" s="1267"/>
      <c r="X28" s="1267"/>
      <c r="Y28" s="1267"/>
      <c r="Z28" s="1267"/>
      <c r="AA28" s="11"/>
      <c r="AB28" s="11"/>
      <c r="AC28" s="1267"/>
      <c r="AD28" s="1267"/>
      <c r="AE28" s="1267"/>
      <c r="AF28" s="1267"/>
      <c r="AG28" s="1267"/>
      <c r="AH28" s="1267"/>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66" t="s">
        <v>428</v>
      </c>
      <c r="T29" s="1266"/>
      <c r="U29" s="773"/>
      <c r="V29" s="1268" t="str">
        <f>IF(TITLE_NUMBER_PR_CHANGE="",IF(TITLE_NUMBER_PR="","",TITLE_NUMBER_PR),TITLE_NUMBER_PR_CHANGE)</f>
        <v/>
      </c>
      <c r="W29" s="1268"/>
      <c r="X29" s="1268"/>
      <c r="Y29" s="1268"/>
      <c r="Z29" s="1268"/>
      <c r="AA29" s="11"/>
      <c r="AB29" s="11"/>
      <c r="AC29" s="1268"/>
      <c r="AD29" s="1268"/>
      <c r="AE29" s="1268"/>
      <c r="AF29" s="1268"/>
      <c r="AG29" s="1268"/>
      <c r="AH29" s="1268"/>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66" t="s">
        <v>43</v>
      </c>
      <c r="T30" s="1266"/>
      <c r="U30" s="773"/>
      <c r="V30" s="1268" t="str">
        <f>IF(TITLE_IST_PUB_CHANGE="",IF(TITLE_IST_PUB="","",TITLE_IST_PUB),TITLE_IST_PUB_CHANGE)</f>
        <v/>
      </c>
      <c r="W30" s="1268"/>
      <c r="X30" s="1268"/>
      <c r="Y30" s="1268"/>
      <c r="Z30" s="1268"/>
      <c r="AA30" s="11"/>
      <c r="AB30" s="11"/>
      <c r="AC30" s="1268"/>
      <c r="AD30" s="1268"/>
      <c r="AE30" s="1268"/>
      <c r="AF30" s="1268"/>
      <c r="AG30" s="1268"/>
      <c r="AH30" s="1268"/>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66" t="s">
        <v>427</v>
      </c>
      <c r="T32" s="1266"/>
      <c r="U32" s="773"/>
      <c r="V32" s="1267" t="str">
        <f>IF(TITLE_DATE_PR_CHANGE="",IF(TITLE_DATE_PR="","",TITLE_DATE_PR),TITLE_DATE_PR_CHANGE)</f>
        <v/>
      </c>
      <c r="W32" s="1267"/>
      <c r="X32" s="1267"/>
      <c r="Y32" s="1267"/>
      <c r="Z32" s="1267"/>
      <c r="AA32" s="11"/>
      <c r="AB32" s="11"/>
      <c r="AC32" s="1267"/>
      <c r="AD32" s="1267"/>
      <c r="AE32" s="1267"/>
      <c r="AF32" s="1267"/>
      <c r="AG32" s="1267"/>
      <c r="AH32" s="1267"/>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66" t="s">
        <v>428</v>
      </c>
      <c r="T33" s="1266"/>
      <c r="U33" s="773"/>
      <c r="V33" s="1268" t="str">
        <f>IF(TITLE_NUMBER_PR_CHANGE="",IF(TITLE_NUMBER_PR="","",TITLE_NUMBER_PR),TITLE_NUMBER_PR_CHANGE)</f>
        <v/>
      </c>
      <c r="W33" s="1268"/>
      <c r="X33" s="1268"/>
      <c r="Y33" s="1268"/>
      <c r="Z33" s="1268"/>
      <c r="AA33" s="11"/>
      <c r="AB33" s="11"/>
      <c r="AC33" s="1268"/>
      <c r="AD33" s="1268"/>
      <c r="AE33" s="1268"/>
      <c r="AF33" s="1268"/>
      <c r="AG33" s="1268"/>
      <c r="AH33" s="1268"/>
      <c r="AI33" s="11"/>
      <c r="AJ33" s="11"/>
      <c r="AK33" s="163"/>
      <c r="AL33" s="69"/>
      <c r="AM33" s="69"/>
      <c r="AN33" s="69"/>
      <c r="AO33" s="69"/>
      <c r="AP33" s="69"/>
      <c r="AQ33" s="35">
        <v>0</v>
      </c>
    </row>
    <row r="34" spans="1:43" s="35" customFormat="1" ht="1.1499999999999999"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431</v>
      </c>
      <c r="AB34" s="68"/>
      <c r="AC34" s="11"/>
      <c r="AD34" s="11"/>
      <c r="AE34" s="11"/>
      <c r="AF34" s="11"/>
      <c r="AG34" s="11"/>
      <c r="AH34" s="11"/>
      <c r="AI34" s="68" t="s">
        <v>431</v>
      </c>
      <c r="AL34" s="69"/>
      <c r="AM34" s="69"/>
      <c r="AN34" s="69"/>
      <c r="AO34" s="69"/>
      <c r="AP34" s="69"/>
      <c r="AQ34" s="35">
        <v>1</v>
      </c>
    </row>
    <row r="35" spans="1:43" ht="14.65" customHeight="1">
      <c r="Q35" s="168"/>
      <c r="R35" s="28"/>
      <c r="S35" s="739"/>
      <c r="T35" s="10"/>
      <c r="U35" s="720"/>
      <c r="V35" s="1287"/>
      <c r="W35" s="1287"/>
      <c r="X35" s="1287"/>
      <c r="Y35" s="1287"/>
      <c r="Z35" s="1287"/>
      <c r="AA35" s="1287"/>
      <c r="AB35" s="1042"/>
      <c r="AC35" s="1287"/>
      <c r="AD35" s="1287"/>
      <c r="AE35" s="1287"/>
      <c r="AF35" s="1287"/>
      <c r="AG35" s="1287"/>
      <c r="AH35" s="1287"/>
      <c r="AI35" s="1287"/>
      <c r="AQ35" s="11">
        <v>14</v>
      </c>
    </row>
    <row r="36" spans="1:43" ht="14.65" customHeight="1">
      <c r="Q36" s="168"/>
      <c r="R36" s="28"/>
      <c r="S36" s="1148" t="s">
        <v>304</v>
      </c>
      <c r="T36" s="1148"/>
      <c r="U36" s="1148"/>
      <c r="V36" s="1148"/>
      <c r="W36" s="1148"/>
      <c r="X36" s="1148"/>
      <c r="Y36" s="1148"/>
      <c r="Z36" s="1148"/>
      <c r="AA36" s="1207"/>
      <c r="AB36" s="1207"/>
      <c r="AC36" s="1207"/>
      <c r="AD36" s="1148"/>
      <c r="AE36" s="1148"/>
      <c r="AF36" s="1148"/>
      <c r="AG36" s="1148"/>
      <c r="AH36" s="1148"/>
      <c r="AI36" s="1148"/>
      <c r="AJ36" s="1148"/>
      <c r="AK36" s="1148" t="s">
        <v>305</v>
      </c>
      <c r="AQ36" s="11">
        <v>14</v>
      </c>
    </row>
    <row r="37" spans="1:43" ht="14.65" customHeight="1">
      <c r="Q37" s="168"/>
      <c r="R37" s="28"/>
      <c r="S37" s="1288" t="s">
        <v>88</v>
      </c>
      <c r="T37" s="1237" t="s">
        <v>503</v>
      </c>
      <c r="U37" s="172"/>
      <c r="V37" s="1290"/>
      <c r="W37" s="1290"/>
      <c r="X37" s="1290"/>
      <c r="Y37" s="1290"/>
      <c r="Z37" s="1290"/>
      <c r="AA37" s="1237" t="s">
        <v>434</v>
      </c>
      <c r="AB37" s="1236" t="s">
        <v>504</v>
      </c>
      <c r="AC37" s="1236" t="s">
        <v>478</v>
      </c>
      <c r="AD37" s="1305" t="s">
        <v>433</v>
      </c>
      <c r="AE37" s="1305"/>
      <c r="AF37" s="1290"/>
      <c r="AG37" s="1290"/>
      <c r="AH37" s="1291"/>
      <c r="AI37" s="1292" t="s">
        <v>434</v>
      </c>
      <c r="AJ37" s="1295" t="s">
        <v>436</v>
      </c>
      <c r="AK37" s="1148"/>
      <c r="AQ37" s="11">
        <v>14</v>
      </c>
    </row>
    <row r="38" spans="1:43" ht="35.65" customHeight="1">
      <c r="Q38" s="168"/>
      <c r="R38" s="28"/>
      <c r="S38" s="1288"/>
      <c r="T38" s="1237"/>
      <c r="U38" s="607"/>
      <c r="V38" s="1128" t="s">
        <v>481</v>
      </c>
      <c r="W38" s="1148"/>
      <c r="X38" s="1208" t="s">
        <v>440</v>
      </c>
      <c r="Y38" s="1317"/>
      <c r="Z38" s="1317"/>
      <c r="AA38" s="1237"/>
      <c r="AB38" s="1236"/>
      <c r="AC38" s="1236"/>
      <c r="AD38" s="1128" t="s">
        <v>481</v>
      </c>
      <c r="AE38" s="1148"/>
      <c r="AF38" s="1317" t="s">
        <v>440</v>
      </c>
      <c r="AG38" s="1317"/>
      <c r="AH38" s="1209"/>
      <c r="AI38" s="1293"/>
      <c r="AJ38" s="1296"/>
      <c r="AK38" s="1148"/>
      <c r="AQ38" s="11">
        <v>34</v>
      </c>
    </row>
    <row r="39" spans="1:43" ht="14.65" customHeight="1">
      <c r="Q39" s="168"/>
      <c r="R39" s="28"/>
      <c r="S39" s="1288"/>
      <c r="T39" s="1237"/>
      <c r="U39" s="607"/>
      <c r="V39" s="1341" t="str">
        <f>IF($AD$39&lt;&gt;"",$AD$39,"")</f>
        <v/>
      </c>
      <c r="W39" s="1341"/>
      <c r="X39" s="1213"/>
      <c r="Y39" s="1318"/>
      <c r="Z39" s="1318"/>
      <c r="AA39" s="1237"/>
      <c r="AB39" s="1236"/>
      <c r="AC39" s="1236"/>
      <c r="AD39" s="1350"/>
      <c r="AE39" s="1340"/>
      <c r="AF39" s="1318"/>
      <c r="AG39" s="1318"/>
      <c r="AH39" s="1214"/>
      <c r="AI39" s="1293"/>
      <c r="AJ39" s="1296"/>
      <c r="AK39" s="1148"/>
      <c r="AQ39" s="11">
        <v>14</v>
      </c>
    </row>
    <row r="40" spans="1:43" ht="14.65" customHeight="1">
      <c r="A40" s="17"/>
      <c r="B40" s="17" t="s">
        <v>141</v>
      </c>
      <c r="C40" s="17" t="s">
        <v>142</v>
      </c>
      <c r="D40" s="17" t="s">
        <v>143</v>
      </c>
      <c r="E40" s="754" t="s">
        <v>441</v>
      </c>
      <c r="F40" s="754" t="s">
        <v>442</v>
      </c>
      <c r="G40" s="754" t="s">
        <v>443</v>
      </c>
      <c r="H40" s="754" t="s">
        <v>444</v>
      </c>
      <c r="I40" s="754" t="s">
        <v>445</v>
      </c>
      <c r="J40" s="754" t="s">
        <v>446</v>
      </c>
      <c r="K40" s="754" t="s">
        <v>447</v>
      </c>
      <c r="L40" s="754" t="s">
        <v>422</v>
      </c>
      <c r="Q40" s="168"/>
      <c r="R40" s="28"/>
      <c r="S40" s="1288"/>
      <c r="T40" s="1237"/>
      <c r="U40" s="173"/>
      <c r="V40" s="36" t="s">
        <v>482</v>
      </c>
      <c r="W40" s="36" t="s">
        <v>483</v>
      </c>
      <c r="X40" s="39" t="s">
        <v>450</v>
      </c>
      <c r="Y40" s="1242" t="s">
        <v>451</v>
      </c>
      <c r="Z40" s="1254"/>
      <c r="AA40" s="1237"/>
      <c r="AB40" s="1236"/>
      <c r="AC40" s="1236"/>
      <c r="AD40" s="1048" t="s">
        <v>482</v>
      </c>
      <c r="AE40" s="1005" t="s">
        <v>483</v>
      </c>
      <c r="AF40" s="39" t="s">
        <v>450</v>
      </c>
      <c r="AG40" s="1242" t="s">
        <v>451</v>
      </c>
      <c r="AH40" s="1255"/>
      <c r="AI40" s="1294"/>
      <c r="AJ40" s="1297"/>
      <c r="AK40" s="1148"/>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115</v>
      </c>
      <c r="T41" s="726" t="s">
        <v>103</v>
      </c>
      <c r="U41" s="721" t="str">
        <f ca="1">OFFSET(U41,0,-1)</f>
        <v>2</v>
      </c>
      <c r="V41" s="727">
        <f ca="1">OFFSET(V41,0,-1)+1</f>
        <v>3</v>
      </c>
      <c r="W41" s="727">
        <f ca="1">OFFSET(W41,0,-1)+1</f>
        <v>4</v>
      </c>
      <c r="X41" s="727">
        <f ca="1">OFFSET(X41,0,-1)+1</f>
        <v>5</v>
      </c>
      <c r="Y41" s="1286">
        <f ca="1">OFFSET(Y41,0,-1)+1</f>
        <v>6</v>
      </c>
      <c r="Z41" s="1286"/>
      <c r="AA41" s="286">
        <f ca="1">OFFSET(AA41,0,-2)+1</f>
        <v>7</v>
      </c>
      <c r="AB41" s="286"/>
      <c r="AC41" s="286"/>
      <c r="AD41" s="727">
        <f ca="1">OFFSET(AD41,0,-1)+1</f>
        <v>1</v>
      </c>
      <c r="AE41" s="727">
        <f ca="1">OFFSET(AE41,0,-1)+1</f>
        <v>2</v>
      </c>
      <c r="AF41" s="727">
        <f ca="1">OFFSET(AF41,0,-1)+1</f>
        <v>3</v>
      </c>
      <c r="AG41" s="1286">
        <f ca="1">OFFSET(AG41,0,-1)+1</f>
        <v>4</v>
      </c>
      <c r="AH41" s="1286"/>
      <c r="AI41" s="727">
        <f ca="1">OFFSET(AI41,0,-2)+1</f>
        <v>5</v>
      </c>
      <c r="AJ41" s="721">
        <f ca="1">OFFSET(AJ41,0,-1)</f>
        <v>5</v>
      </c>
      <c r="AK41" s="727">
        <f ca="1">OFFSET(AK41,0,-1)+1</f>
        <v>6</v>
      </c>
      <c r="AL41" s="68"/>
      <c r="AM41" s="68"/>
      <c r="AN41" s="68"/>
      <c r="AO41" s="68"/>
      <c r="AP41" s="68"/>
      <c r="AQ41" s="203">
        <v>0</v>
      </c>
    </row>
    <row r="42" spans="1:43" ht="107.25" customHeight="1">
      <c r="A42" s="731" t="s">
        <v>210</v>
      </c>
      <c r="B42" s="731"/>
      <c r="C42" s="731"/>
      <c r="D42" s="731"/>
      <c r="E42" s="1301">
        <v>1</v>
      </c>
      <c r="F42" s="731"/>
      <c r="G42" s="731"/>
      <c r="H42" s="731"/>
      <c r="I42" s="731"/>
      <c r="J42" s="731"/>
      <c r="K42" s="731"/>
      <c r="L42" s="754"/>
      <c r="M42" s="342"/>
      <c r="N42" s="342"/>
      <c r="O42" s="342"/>
      <c r="Q42" s="62"/>
      <c r="R42" s="207"/>
      <c r="S42" s="709">
        <f>INDEX(PT_DIFFERENTIATION_NUM_NTAR,MATCH(A42,PT_DIFFERENTIATION_NTAR_ID,0))</f>
        <v>0</v>
      </c>
      <c r="T42" s="67" t="s">
        <v>129</v>
      </c>
      <c r="U42" s="171"/>
      <c r="V42" s="1270"/>
      <c r="W42" s="1270"/>
      <c r="X42" s="1270"/>
      <c r="Y42" s="1270"/>
      <c r="Z42" s="1270"/>
      <c r="AA42" s="1271"/>
      <c r="AB42" s="1041"/>
      <c r="AC42" s="1270" t="str">
        <f>INDEX(PT_DIFFERENTIATION_NTAR,MATCH(A42,PT_DIFFERENTIATION_NTAR_ID,0))</f>
        <v/>
      </c>
      <c r="AD42" s="1270"/>
      <c r="AE42" s="1270"/>
      <c r="AF42" s="1270"/>
      <c r="AG42" s="1270"/>
      <c r="AH42" s="1270"/>
      <c r="AI42" s="1270"/>
      <c r="AJ42" s="1271"/>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1.95" customHeight="1">
      <c r="A43" s="731" t="s">
        <v>210</v>
      </c>
      <c r="B43" s="731" t="s">
        <v>211</v>
      </c>
      <c r="C43" s="731"/>
      <c r="D43" s="731"/>
      <c r="E43" s="1302"/>
      <c r="F43" s="1301">
        <v>1</v>
      </c>
      <c r="G43" s="731"/>
      <c r="H43" s="731"/>
      <c r="I43" s="731"/>
      <c r="J43" s="731"/>
      <c r="K43" s="731"/>
      <c r="L43" s="754"/>
      <c r="M43" s="342"/>
      <c r="N43" s="342"/>
      <c r="O43" s="342"/>
      <c r="P43" s="301"/>
      <c r="Q43" s="802"/>
      <c r="R43" s="205"/>
      <c r="S43" s="709" t="str">
        <f>INDEX(PT_DIFFERENTIATION_NUM_TER,MATCH(B43,PT_DIFFERENTIATION_TER_ID,0))</f>
        <v>.</v>
      </c>
      <c r="T43" s="177" t="s">
        <v>401</v>
      </c>
      <c r="U43" s="171"/>
      <c r="V43" s="1270"/>
      <c r="W43" s="1270"/>
      <c r="X43" s="1270"/>
      <c r="Y43" s="1270"/>
      <c r="Z43" s="1270"/>
      <c r="AA43" s="1271"/>
      <c r="AB43" s="1041"/>
      <c r="AC43" s="1270" t="str">
        <f>INDEX(PT_DIFFERENTIATION_TER,MATCH(B43,PT_DIFFERENTIATION_TER_ID,0))</f>
        <v/>
      </c>
      <c r="AD43" s="1270"/>
      <c r="AE43" s="1270"/>
      <c r="AF43" s="1270"/>
      <c r="AG43" s="1270"/>
      <c r="AH43" s="1270"/>
      <c r="AI43" s="1270"/>
      <c r="AJ43" s="1271"/>
      <c r="AK43" s="729" t="s">
        <v>402</v>
      </c>
      <c r="AM43" s="69"/>
      <c r="AN43" s="69" t="str">
        <f t="shared" si="1"/>
        <v>Территория действия тарифа</v>
      </c>
      <c r="AO43" s="69"/>
      <c r="AP43" s="69"/>
      <c r="AQ43" s="11">
        <v>21</v>
      </c>
    </row>
    <row r="44" spans="1:43" ht="24" customHeight="1">
      <c r="A44" s="731" t="s">
        <v>210</v>
      </c>
      <c r="B44" s="731" t="s">
        <v>211</v>
      </c>
      <c r="C44" s="731" t="s">
        <v>212</v>
      </c>
      <c r="D44" s="731"/>
      <c r="E44" s="1302"/>
      <c r="F44" s="1302"/>
      <c r="G44" s="1301">
        <v>1</v>
      </c>
      <c r="H44" s="731"/>
      <c r="I44" s="731"/>
      <c r="J44" s="731"/>
      <c r="K44" s="731"/>
      <c r="L44" s="754"/>
      <c r="M44" s="342"/>
      <c r="N44" s="342"/>
      <c r="O44" s="342"/>
      <c r="P44" s="131"/>
      <c r="Q44" s="802"/>
      <c r="R44" s="205"/>
      <c r="S44" s="709" t="str">
        <f>INDEX(PT_DIFFERENTIATION_NUM_CS,MATCH(C44,PT_DIFFERENTIATION_CS_ID,0))</f>
        <v>..</v>
      </c>
      <c r="T44" s="178" t="s">
        <v>403</v>
      </c>
      <c r="U44" s="171"/>
      <c r="V44" s="1270"/>
      <c r="W44" s="1270"/>
      <c r="X44" s="1270"/>
      <c r="Y44" s="1270"/>
      <c r="Z44" s="1270"/>
      <c r="AA44" s="1271"/>
      <c r="AB44" s="1041"/>
      <c r="AC44" s="1270" t="str">
        <f>INDEX(PT_DIFFERENTIATION_CS,MATCH(C44,PT_DIFFERENTIATION_CS_ID,0))</f>
        <v/>
      </c>
      <c r="AD44" s="1270"/>
      <c r="AE44" s="1270"/>
      <c r="AF44" s="1270"/>
      <c r="AG44" s="1270"/>
      <c r="AH44" s="1270"/>
      <c r="AI44" s="1270"/>
      <c r="AJ44" s="1271"/>
      <c r="AK44" s="729" t="s">
        <v>404</v>
      </c>
      <c r="AM44" s="69"/>
      <c r="AN44" s="69" t="str">
        <f t="shared" si="1"/>
        <v xml:space="preserve">Наименование системы теплоснабжения </v>
      </c>
      <c r="AO44" s="69"/>
      <c r="AP44" s="69"/>
      <c r="AQ44" s="11">
        <v>23</v>
      </c>
    </row>
    <row r="45" spans="1:43" ht="21.95" customHeight="1">
      <c r="A45" s="731" t="s">
        <v>210</v>
      </c>
      <c r="B45" s="731" t="s">
        <v>211</v>
      </c>
      <c r="C45" s="731" t="s">
        <v>212</v>
      </c>
      <c r="D45" s="731" t="s">
        <v>213</v>
      </c>
      <c r="E45" s="1302"/>
      <c r="F45" s="1302"/>
      <c r="G45" s="1302"/>
      <c r="H45" s="1301">
        <v>1</v>
      </c>
      <c r="I45" s="731"/>
      <c r="J45" s="731"/>
      <c r="K45" s="731"/>
      <c r="L45" s="754"/>
      <c r="M45" s="342"/>
      <c r="N45" s="342"/>
      <c r="O45" s="342"/>
      <c r="P45" s="131"/>
      <c r="Q45" s="802"/>
      <c r="R45" s="205"/>
      <c r="S45" s="709" t="str">
        <f>INDEX(PT_DIFFERENTIATION_NUM_IST_TE,MATCH(D45,PT_DIFFERENTIATION_IST_TE_ID,0))</f>
        <v>...</v>
      </c>
      <c r="T45" s="179" t="s">
        <v>405</v>
      </c>
      <c r="U45" s="171"/>
      <c r="V45" s="1270"/>
      <c r="W45" s="1270"/>
      <c r="X45" s="1270"/>
      <c r="Y45" s="1270"/>
      <c r="Z45" s="1270"/>
      <c r="AA45" s="1271"/>
      <c r="AB45" s="1041"/>
      <c r="AC45" s="1270" t="str">
        <f>INDEX(PT_DIFFERENTIATION_IST_TE,MATCH(D45,PT_DIFFERENTIATION_IST_TE_ID,0))</f>
        <v/>
      </c>
      <c r="AD45" s="1270"/>
      <c r="AE45" s="1270"/>
      <c r="AF45" s="1270"/>
      <c r="AG45" s="1270"/>
      <c r="AH45" s="1270"/>
      <c r="AI45" s="1270"/>
      <c r="AJ45" s="1271"/>
      <c r="AK45" s="729" t="s">
        <v>406</v>
      </c>
      <c r="AM45" s="69"/>
      <c r="AN45" s="69" t="str">
        <f t="shared" si="1"/>
        <v xml:space="preserve">Источник тепловой энергии  </v>
      </c>
      <c r="AO45" s="69"/>
      <c r="AP45" s="69"/>
      <c r="AQ45" s="11">
        <v>21</v>
      </c>
    </row>
    <row r="46" spans="1:43" s="68" customFormat="1" ht="0" hidden="1" customHeight="1">
      <c r="A46" s="774" t="s">
        <v>210</v>
      </c>
      <c r="B46" s="774" t="s">
        <v>211</v>
      </c>
      <c r="C46" s="774" t="s">
        <v>212</v>
      </c>
      <c r="D46" s="774" t="s">
        <v>213</v>
      </c>
      <c r="E46" s="1302"/>
      <c r="F46" s="1302"/>
      <c r="G46" s="1302"/>
      <c r="H46" s="1302"/>
      <c r="I46" s="1148" t="str">
        <f>S45&amp;".1"</f>
        <v>....1</v>
      </c>
      <c r="J46" s="774"/>
      <c r="K46" s="774"/>
      <c r="L46" s="775" t="s">
        <v>407</v>
      </c>
      <c r="M46" s="722"/>
      <c r="N46" s="722"/>
      <c r="O46" s="722"/>
      <c r="P46" s="1279">
        <v>1</v>
      </c>
      <c r="Q46" s="122"/>
      <c r="R46" s="208"/>
      <c r="S46" s="362"/>
      <c r="T46" s="779"/>
      <c r="U46" s="780"/>
      <c r="V46" s="1307"/>
      <c r="W46" s="1307"/>
      <c r="X46" s="1307"/>
      <c r="Y46" s="1307"/>
      <c r="Z46" s="1307"/>
      <c r="AA46" s="1308"/>
      <c r="AB46" s="1043"/>
      <c r="AC46" s="1307"/>
      <c r="AD46" s="1307"/>
      <c r="AE46" s="1307"/>
      <c r="AF46" s="1307"/>
      <c r="AG46" s="1307"/>
      <c r="AH46" s="1307"/>
      <c r="AI46" s="1307"/>
      <c r="AJ46" s="1308"/>
      <c r="AK46" s="781"/>
      <c r="AM46" s="69"/>
      <c r="AN46" s="69" t="str">
        <f t="shared" si="1"/>
        <v/>
      </c>
      <c r="AO46" s="69"/>
      <c r="AP46" s="69"/>
      <c r="AQ46" s="68">
        <v>0</v>
      </c>
    </row>
    <row r="47" spans="1:43" s="68" customFormat="1" ht="0" hidden="1" customHeight="1">
      <c r="A47" s="774" t="s">
        <v>210</v>
      </c>
      <c r="B47" s="774" t="s">
        <v>211</v>
      </c>
      <c r="C47" s="774" t="s">
        <v>212</v>
      </c>
      <c r="D47" s="774" t="s">
        <v>213</v>
      </c>
      <c r="E47" s="1302"/>
      <c r="F47" s="1302"/>
      <c r="G47" s="1302"/>
      <c r="H47" s="1302"/>
      <c r="I47" s="1129"/>
      <c r="J47" s="1148" t="str">
        <f>S45&amp;".1"</f>
        <v>....1</v>
      </c>
      <c r="K47" s="774"/>
      <c r="L47" s="775"/>
      <c r="M47" s="722"/>
      <c r="N47" s="722"/>
      <c r="O47" s="722"/>
      <c r="P47" s="1279"/>
      <c r="Q47" s="1279">
        <v>1</v>
      </c>
      <c r="R47" s="209"/>
      <c r="S47" s="362"/>
      <c r="T47" s="794"/>
      <c r="U47" s="780"/>
      <c r="V47" s="1307"/>
      <c r="W47" s="1307"/>
      <c r="X47" s="1307"/>
      <c r="Y47" s="1307"/>
      <c r="Z47" s="1307"/>
      <c r="AA47" s="1308"/>
      <c r="AB47" s="1043"/>
      <c r="AC47" s="1307"/>
      <c r="AD47" s="1307"/>
      <c r="AE47" s="1307"/>
      <c r="AF47" s="1307"/>
      <c r="AG47" s="1307"/>
      <c r="AH47" s="1307"/>
      <c r="AI47" s="1307"/>
      <c r="AJ47" s="1308"/>
      <c r="AK47" s="781"/>
      <c r="AM47" s="69"/>
      <c r="AN47" s="69" t="str">
        <f t="shared" si="1"/>
        <v/>
      </c>
      <c r="AO47" s="69"/>
      <c r="AP47" s="69"/>
      <c r="AQ47" s="68">
        <v>0</v>
      </c>
    </row>
    <row r="48" spans="1:43" ht="21.95" customHeight="1">
      <c r="A48" s="731" t="s">
        <v>210</v>
      </c>
      <c r="B48" s="731" t="s">
        <v>211</v>
      </c>
      <c r="C48" s="731" t="s">
        <v>212</v>
      </c>
      <c r="D48" s="731" t="s">
        <v>213</v>
      </c>
      <c r="E48" s="1302"/>
      <c r="F48" s="1302"/>
      <c r="G48" s="1302"/>
      <c r="H48" s="1302"/>
      <c r="I48" s="1129"/>
      <c r="J48" s="1129"/>
      <c r="K48" s="41" t="str">
        <f>S45&amp;".1"</f>
        <v>....1</v>
      </c>
      <c r="L48" s="754"/>
      <c r="P48" s="1279"/>
      <c r="Q48" s="1279"/>
      <c r="R48" s="209">
        <v>1</v>
      </c>
      <c r="S48" s="1045" t="str">
        <f>$K48</f>
        <v>....1</v>
      </c>
      <c r="T48" s="1044"/>
      <c r="U48" s="171"/>
      <c r="V48" s="306"/>
      <c r="W48" s="728"/>
      <c r="X48" s="943"/>
      <c r="Y48" s="297" t="s">
        <v>66</v>
      </c>
      <c r="Z48" s="943"/>
      <c r="AA48" s="297" t="s">
        <v>66</v>
      </c>
      <c r="AB48" s="1047"/>
      <c r="AC48" s="1046" t="s">
        <v>22</v>
      </c>
      <c r="AD48" s="306"/>
      <c r="AE48" s="728"/>
      <c r="AF48" s="943"/>
      <c r="AG48" s="297" t="s">
        <v>66</v>
      </c>
      <c r="AH48" s="943"/>
      <c r="AI48" s="297" t="s">
        <v>66</v>
      </c>
      <c r="AJ48" s="766"/>
      <c r="AK48" s="1298" t="s">
        <v>484</v>
      </c>
      <c r="AL48" s="68" t="e">
        <f ca="1">STRCHECKDATE(#REF!)</f>
        <v>#NAME?</v>
      </c>
      <c r="AM48" s="69"/>
      <c r="AN48" s="69" t="str">
        <f t="shared" si="1"/>
        <v/>
      </c>
      <c r="AO48" s="69"/>
      <c r="AP48" s="69"/>
      <c r="AQ48" s="11">
        <v>21</v>
      </c>
    </row>
    <row r="49" spans="1:43" ht="11.45" customHeight="1">
      <c r="A49" s="731" t="s">
        <v>210</v>
      </c>
      <c r="B49" s="731" t="s">
        <v>211</v>
      </c>
      <c r="C49" s="731" t="s">
        <v>212</v>
      </c>
      <c r="D49" s="731" t="s">
        <v>213</v>
      </c>
      <c r="E49" s="1302"/>
      <c r="F49" s="1302"/>
      <c r="G49" s="1302"/>
      <c r="H49" s="1302"/>
      <c r="I49" s="1129"/>
      <c r="J49" s="1148"/>
      <c r="K49" s="731"/>
      <c r="L49" s="754"/>
      <c r="P49" s="1279"/>
      <c r="Q49" s="1279"/>
      <c r="R49" s="208"/>
      <c r="S49" s="742"/>
      <c r="T49" s="166" t="s">
        <v>472</v>
      </c>
      <c r="U49" s="213"/>
      <c r="V49" s="213"/>
      <c r="W49" s="213"/>
      <c r="X49" s="213"/>
      <c r="Y49" s="213"/>
      <c r="Z49" s="213"/>
      <c r="AA49" s="190"/>
      <c r="AB49" s="213"/>
      <c r="AC49" s="213"/>
      <c r="AD49" s="213"/>
      <c r="AE49" s="213"/>
      <c r="AF49" s="213"/>
      <c r="AG49" s="213"/>
      <c r="AH49" s="213"/>
      <c r="AI49" s="213"/>
      <c r="AJ49" s="190"/>
      <c r="AK49" s="1300"/>
      <c r="AM49" s="69"/>
      <c r="AN49" s="69" t="str">
        <f t="shared" si="1"/>
        <v>Добавить строку</v>
      </c>
      <c r="AO49" s="69"/>
      <c r="AP49" s="69"/>
      <c r="AQ49" s="11">
        <v>11</v>
      </c>
    </row>
    <row r="50" spans="1:43" s="68" customFormat="1" ht="1.1499999999999999" customHeight="1">
      <c r="A50" s="774" t="s">
        <v>210</v>
      </c>
      <c r="B50" s="774" t="s">
        <v>211</v>
      </c>
      <c r="C50" s="774" t="s">
        <v>212</v>
      </c>
      <c r="D50" s="774" t="s">
        <v>213</v>
      </c>
      <c r="E50" s="1302"/>
      <c r="F50" s="1302"/>
      <c r="G50" s="1302"/>
      <c r="H50" s="1302"/>
      <c r="I50" s="1148"/>
      <c r="J50" s="774"/>
      <c r="K50" s="774"/>
      <c r="L50" s="775"/>
      <c r="M50" s="722"/>
      <c r="N50" s="722"/>
      <c r="O50" s="722"/>
      <c r="P50" s="1279"/>
      <c r="Q50" s="122"/>
      <c r="R50" s="208"/>
      <c r="S50" s="782"/>
      <c r="T50" s="783" t="s">
        <v>416</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1499999999999999" customHeight="1">
      <c r="A51" s="774" t="s">
        <v>210</v>
      </c>
      <c r="B51" s="774" t="s">
        <v>211</v>
      </c>
      <c r="C51" s="774" t="s">
        <v>212</v>
      </c>
      <c r="D51" s="774" t="s">
        <v>213</v>
      </c>
      <c r="E51" s="1302"/>
      <c r="F51" s="1302"/>
      <c r="G51" s="1302"/>
      <c r="H51" s="1301"/>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1499999999999999" customHeight="1">
      <c r="A52" s="774" t="s">
        <v>210</v>
      </c>
      <c r="B52" s="774" t="s">
        <v>211</v>
      </c>
      <c r="C52" s="774" t="s">
        <v>212</v>
      </c>
      <c r="D52" s="774"/>
      <c r="E52" s="1302"/>
      <c r="F52" s="1302"/>
      <c r="G52" s="1301"/>
      <c r="H52" s="774"/>
      <c r="I52" s="774"/>
      <c r="J52" s="774"/>
      <c r="K52" s="774"/>
      <c r="L52" s="775"/>
      <c r="M52" s="776"/>
      <c r="N52" s="776"/>
      <c r="O52" s="203"/>
      <c r="P52" s="104"/>
      <c r="Q52" s="755"/>
      <c r="R52" s="104"/>
      <c r="S52" s="760"/>
      <c r="T52" s="762" t="s">
        <v>418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1499999999999999" customHeight="1">
      <c r="A53" s="774" t="s">
        <v>210</v>
      </c>
      <c r="B53" s="774" t="s">
        <v>211</v>
      </c>
      <c r="C53" s="774"/>
      <c r="D53" s="774"/>
      <c r="E53" s="1302"/>
      <c r="F53" s="1301"/>
      <c r="G53" s="774"/>
      <c r="H53" s="774"/>
      <c r="I53" s="774"/>
      <c r="J53" s="774"/>
      <c r="K53" s="774"/>
      <c r="L53" s="775"/>
      <c r="M53" s="777"/>
      <c r="N53" s="777"/>
      <c r="O53" s="203"/>
      <c r="P53" s="104"/>
      <c r="Q53" s="755"/>
      <c r="R53" s="104"/>
      <c r="S53" s="760"/>
      <c r="T53" s="762" t="s">
        <v>419</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1499999999999999" customHeight="1">
      <c r="A54" s="774" t="s">
        <v>210</v>
      </c>
      <c r="B54" s="774"/>
      <c r="C54" s="774"/>
      <c r="D54" s="774"/>
      <c r="E54" s="1302"/>
      <c r="F54" s="774"/>
      <c r="G54" s="774"/>
      <c r="H54" s="774"/>
      <c r="I54" s="774"/>
      <c r="J54" s="774"/>
      <c r="K54" s="774"/>
      <c r="L54" s="775"/>
      <c r="M54" s="777"/>
      <c r="N54" s="777"/>
      <c r="O54" s="203"/>
      <c r="P54" s="104"/>
      <c r="Q54" s="755"/>
      <c r="R54" s="104"/>
      <c r="S54" s="760"/>
      <c r="T54" s="762" t="s">
        <v>420</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1499999999999999" customHeight="1">
      <c r="A55" s="774" t="s">
        <v>210</v>
      </c>
      <c r="B55" s="774"/>
      <c r="C55" s="774"/>
      <c r="D55" s="774"/>
      <c r="E55" s="1301"/>
      <c r="F55" s="774"/>
      <c r="G55" s="774"/>
      <c r="H55" s="774"/>
      <c r="I55" s="774"/>
      <c r="J55" s="774"/>
      <c r="K55" s="774"/>
      <c r="L55" s="775"/>
      <c r="M55" s="777"/>
      <c r="N55" s="777"/>
      <c r="O55" s="203"/>
      <c r="P55" s="104"/>
      <c r="Q55" s="755"/>
      <c r="R55" s="104"/>
      <c r="S55" s="760"/>
      <c r="T55" s="762" t="s">
        <v>420</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1499999999999999" customHeight="1">
      <c r="A56" s="774"/>
      <c r="B56" s="774"/>
      <c r="C56" s="774"/>
      <c r="D56" s="774"/>
      <c r="E56" s="774"/>
      <c r="F56" s="774"/>
      <c r="G56" s="774"/>
      <c r="H56" s="774"/>
      <c r="I56" s="774"/>
      <c r="J56" s="774"/>
      <c r="K56" s="774"/>
      <c r="L56" s="775"/>
      <c r="M56" s="777"/>
      <c r="N56" s="777"/>
      <c r="O56" s="203"/>
      <c r="P56" s="104"/>
      <c r="Q56" s="755"/>
      <c r="R56" s="104"/>
      <c r="S56" s="760"/>
      <c r="T56" s="762" t="s">
        <v>452</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45" customHeight="1">
      <c r="M57" s="11"/>
      <c r="N57" s="11"/>
      <c r="O57" s="11"/>
      <c r="P57" s="63"/>
      <c r="Q57" s="63"/>
      <c r="R57" s="11"/>
      <c r="S57" s="11"/>
      <c r="AL57" s="11"/>
      <c r="AM57" s="11"/>
      <c r="AN57" s="11"/>
      <c r="AO57" s="11"/>
      <c r="AP57" s="11"/>
      <c r="AQ57" s="11">
        <v>11</v>
      </c>
    </row>
    <row r="58" spans="1:43" ht="19.899999999999999" customHeight="1">
      <c r="O58" s="11"/>
      <c r="S58" s="198"/>
      <c r="T58" s="1274"/>
      <c r="U58" s="1274"/>
      <c r="V58" s="1274"/>
      <c r="W58" s="1274"/>
      <c r="X58" s="1274"/>
      <c r="Y58" s="1274"/>
      <c r="Z58" s="1274"/>
      <c r="AA58" s="1274"/>
      <c r="AB58" s="1274"/>
      <c r="AC58" s="1274"/>
      <c r="AD58" s="1274"/>
      <c r="AE58" s="1274"/>
      <c r="AF58" s="1274"/>
      <c r="AG58" s="1274"/>
      <c r="AH58" s="1274"/>
      <c r="AI58" s="1274"/>
      <c r="AJ58" s="1274"/>
      <c r="AK58" s="1274"/>
      <c r="AQ58" s="11">
        <v>19</v>
      </c>
    </row>
    <row r="59" spans="1:43" ht="21" customHeight="1">
      <c r="O59" s="11"/>
      <c r="T59" s="1274"/>
      <c r="U59" s="1274"/>
      <c r="V59" s="1274"/>
      <c r="W59" s="1274"/>
      <c r="X59" s="1274"/>
      <c r="Y59" s="1274"/>
      <c r="Z59" s="1274"/>
      <c r="AA59" s="1274"/>
      <c r="AB59" s="1274"/>
      <c r="AC59" s="1274"/>
      <c r="AD59" s="1274"/>
      <c r="AE59" s="1274"/>
      <c r="AF59" s="1274"/>
      <c r="AG59" s="1274"/>
      <c r="AH59" s="1274"/>
      <c r="AI59" s="1274"/>
      <c r="AJ59" s="1274"/>
      <c r="AK59" s="1274"/>
      <c r="AQ59" s="11">
        <v>20</v>
      </c>
    </row>
    <row r="60" spans="1:43" ht="14.65"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899999999999999" customHeight="1">
      <c r="O61" s="11"/>
      <c r="T61" s="1274"/>
      <c r="U61" s="1274"/>
      <c r="V61" s="1274"/>
      <c r="W61" s="1274"/>
      <c r="X61" s="1274"/>
      <c r="Y61" s="1274"/>
      <c r="Z61" s="1274"/>
      <c r="AA61" s="1274"/>
      <c r="AB61" s="1274"/>
      <c r="AC61" s="1274"/>
      <c r="AD61" s="1274"/>
      <c r="AE61" s="1274"/>
      <c r="AF61" s="1274"/>
      <c r="AG61" s="1274"/>
      <c r="AH61" s="1274"/>
      <c r="AI61" s="1274"/>
      <c r="AJ61" s="1274"/>
      <c r="AK61" s="1274"/>
      <c r="AQ61" s="11">
        <v>19</v>
      </c>
    </row>
    <row r="62" spans="1:43" ht="16.899999999999999" customHeight="1">
      <c r="O62" s="11"/>
      <c r="T62" s="1274"/>
      <c r="U62" s="1274"/>
      <c r="V62" s="1274"/>
      <c r="W62" s="1274"/>
      <c r="X62" s="1274"/>
      <c r="Y62" s="1274"/>
      <c r="Z62" s="1274"/>
      <c r="AA62" s="1274"/>
      <c r="AB62" s="1274"/>
      <c r="AC62" s="1274"/>
      <c r="AD62" s="1274"/>
      <c r="AE62" s="1274"/>
      <c r="AF62" s="1274"/>
      <c r="AG62" s="1274"/>
      <c r="AH62" s="1274"/>
      <c r="AI62" s="1274"/>
      <c r="AJ62" s="1274"/>
      <c r="AK62" s="1274"/>
      <c r="AQ62" s="11">
        <v>16</v>
      </c>
    </row>
    <row r="63" spans="1:43" ht="14.65" customHeight="1">
      <c r="O63" s="11"/>
      <c r="AQ63" s="11">
        <v>14</v>
      </c>
    </row>
    <row r="64" spans="1:43" ht="22.5" hidden="1" customHeight="1">
      <c r="A64" s="11" t="s">
        <v>82</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630FD-B603-DF1F-DF4A-3D9AEAAB92C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5">
        <v>1</v>
      </c>
      <c r="F2" s="769"/>
      <c r="G2" s="769"/>
      <c r="H2" s="769"/>
      <c r="I2" s="769"/>
      <c r="J2" s="769"/>
      <c r="K2" s="769"/>
      <c r="L2" s="770"/>
      <c r="M2" s="426"/>
      <c r="N2" s="426"/>
      <c r="O2" s="426"/>
      <c r="Q2" s="62"/>
      <c r="R2" s="207"/>
      <c r="S2" s="709" t="e">
        <f>INDEX(PT_DIFFERENTIATION_NUM_NTAR,MATCH(A2,PT_DIFFERENTIATION_NTAR_ID,0))</f>
        <v>#N/A</v>
      </c>
      <c r="T2" s="67" t="s">
        <v>129</v>
      </c>
      <c r="U2" s="171"/>
      <c r="V2" s="1270"/>
      <c r="W2" s="1270"/>
      <c r="X2" s="1270"/>
      <c r="Y2" s="1270"/>
      <c r="Z2" s="1270"/>
      <c r="AA2" s="1270"/>
      <c r="AB2" s="1270"/>
      <c r="AC2" s="1271"/>
      <c r="AD2" s="1269" t="e">
        <f>INDEX(PT_DIFFERENTIATION_NTAR,MATCH(A2,PT_DIFFERENTIATION_NTAR_ID,0))</f>
        <v>#N/A</v>
      </c>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1"/>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6"/>
      <c r="F3" s="1275">
        <v>1</v>
      </c>
      <c r="G3" s="769"/>
      <c r="H3" s="769"/>
      <c r="I3" s="769"/>
      <c r="J3" s="769"/>
      <c r="K3" s="769"/>
      <c r="L3" s="770"/>
      <c r="M3" s="426"/>
      <c r="N3" s="426"/>
      <c r="O3" s="426"/>
      <c r="P3" s="301"/>
      <c r="Q3" s="802"/>
      <c r="R3" s="205"/>
      <c r="S3" s="709" t="e">
        <f>INDEX(PT_DIFFERENTIATION_NUM_TER,MATCH(B3,PT_DIFFERENTIATION_TER_ID,0))</f>
        <v>#N/A</v>
      </c>
      <c r="T3" s="177" t="s">
        <v>401</v>
      </c>
      <c r="U3" s="171"/>
      <c r="V3" s="1270"/>
      <c r="W3" s="1270"/>
      <c r="X3" s="1270"/>
      <c r="Y3" s="1270"/>
      <c r="Z3" s="1270"/>
      <c r="AA3" s="1270"/>
      <c r="AB3" s="1270"/>
      <c r="AC3" s="1271"/>
      <c r="AD3" s="1269" t="e">
        <f>INDEX(PT_DIFFERENTIATION_TER,MATCH(B3,PT_DIFFERENTIATION_TER_ID,0))</f>
        <v>#N/A</v>
      </c>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1"/>
      <c r="BC3" s="729" t="s">
        <v>402</v>
      </c>
      <c r="BE3" s="69"/>
      <c r="BF3" s="69" t="str">
        <f t="shared" si="0"/>
        <v>Территория действия тарифа</v>
      </c>
      <c r="BG3" s="69"/>
      <c r="BH3" s="69"/>
      <c r="BI3" s="11">
        <v>0</v>
      </c>
    </row>
    <row r="4" spans="1:61" ht="42" hidden="1" customHeight="1">
      <c r="A4" s="769"/>
      <c r="B4" s="769"/>
      <c r="C4" s="769"/>
      <c r="D4" s="769"/>
      <c r="E4" s="1276"/>
      <c r="F4" s="1276"/>
      <c r="G4" s="1275">
        <v>1</v>
      </c>
      <c r="H4" s="769"/>
      <c r="I4" s="769"/>
      <c r="J4" s="769"/>
      <c r="K4" s="769"/>
      <c r="L4" s="770"/>
      <c r="M4" s="426"/>
      <c r="N4" s="426"/>
      <c r="O4" s="426"/>
      <c r="P4" s="131"/>
      <c r="Q4" s="802"/>
      <c r="R4" s="205"/>
      <c r="S4" s="709" t="e">
        <f>INDEX(PT_DIFFERENTIATION_NUM_CS,MATCH(C4,PT_DIFFERENTIATION_CS_ID,0))</f>
        <v>#N/A</v>
      </c>
      <c r="T4" s="178" t="s">
        <v>485</v>
      </c>
      <c r="U4" s="171"/>
      <c r="V4" s="1270"/>
      <c r="W4" s="1270"/>
      <c r="X4" s="1270"/>
      <c r="Y4" s="1270"/>
      <c r="Z4" s="1270"/>
      <c r="AA4" s="1270"/>
      <c r="AB4" s="1270"/>
      <c r="AC4" s="1271"/>
      <c r="AD4" s="1269" t="e">
        <f>INDEX(PT_DIFFERENTIATION_CS,MATCH(C4,PT_DIFFERENTIATION_CS_ID,0))</f>
        <v>#N/A</v>
      </c>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1"/>
      <c r="BC4" s="729" t="s">
        <v>486</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76"/>
      <c r="F5" s="1276"/>
      <c r="G5" s="1276"/>
      <c r="H5" s="1275">
        <v>1</v>
      </c>
      <c r="I5" s="145"/>
      <c r="J5" s="145"/>
      <c r="K5" s="145"/>
      <c r="L5" s="346"/>
      <c r="M5" s="293"/>
      <c r="N5" s="293"/>
      <c r="O5" s="293"/>
      <c r="P5" s="820"/>
      <c r="Q5" s="821"/>
      <c r="R5" s="209"/>
      <c r="S5" s="362"/>
      <c r="T5" s="822"/>
      <c r="U5" s="780"/>
      <c r="V5" s="1307"/>
      <c r="W5" s="1307"/>
      <c r="X5" s="1307"/>
      <c r="Y5" s="1307"/>
      <c r="Z5" s="1307"/>
      <c r="AA5" s="1307"/>
      <c r="AB5" s="1307"/>
      <c r="AC5" s="1308"/>
      <c r="AD5" s="1306"/>
      <c r="AE5" s="1307"/>
      <c r="AF5" s="1307"/>
      <c r="AG5" s="1307"/>
      <c r="AH5" s="1307"/>
      <c r="AI5" s="1307"/>
      <c r="AJ5" s="1307"/>
      <c r="AK5" s="1307"/>
      <c r="AL5" s="1307"/>
      <c r="AM5" s="1307"/>
      <c r="AN5" s="1307"/>
      <c r="AO5" s="1307"/>
      <c r="AP5" s="1307"/>
      <c r="AQ5" s="1307"/>
      <c r="AR5" s="1307"/>
      <c r="AS5" s="1307"/>
      <c r="AT5" s="1307"/>
      <c r="AU5" s="1307"/>
      <c r="AV5" s="1307"/>
      <c r="AW5" s="1307"/>
      <c r="AX5" s="1307"/>
      <c r="AY5" s="1307"/>
      <c r="AZ5" s="1307"/>
      <c r="BA5" s="1307"/>
      <c r="BB5" s="1308"/>
      <c r="BC5" s="781" t="s">
        <v>406</v>
      </c>
      <c r="BE5" s="69"/>
      <c r="BF5" s="69" t="str">
        <f t="shared" si="0"/>
        <v/>
      </c>
      <c r="BG5" s="69"/>
      <c r="BH5" s="69"/>
      <c r="BI5" s="68">
        <v>0</v>
      </c>
    </row>
    <row r="6" spans="1:61" s="68" customFormat="1" ht="14.25" hidden="1" customHeight="1">
      <c r="A6" s="145"/>
      <c r="B6" s="145"/>
      <c r="C6" s="145"/>
      <c r="D6" s="145"/>
      <c r="E6" s="1276"/>
      <c r="F6" s="1276"/>
      <c r="G6" s="1276"/>
      <c r="H6" s="1276"/>
      <c r="I6" s="1277" t="str">
        <f>S5&amp;".1"</f>
        <v>.1</v>
      </c>
      <c r="J6" s="145"/>
      <c r="K6" s="145"/>
      <c r="L6" s="346" t="s">
        <v>407</v>
      </c>
      <c r="M6" s="290"/>
      <c r="N6" s="290"/>
      <c r="O6" s="290"/>
      <c r="P6" s="1279">
        <v>1</v>
      </c>
      <c r="Q6" s="122"/>
      <c r="R6" s="208"/>
      <c r="S6" s="362"/>
      <c r="T6" s="779"/>
      <c r="U6" s="780"/>
      <c r="V6" s="1307"/>
      <c r="W6" s="1307"/>
      <c r="X6" s="1307"/>
      <c r="Y6" s="1307"/>
      <c r="Z6" s="1307"/>
      <c r="AA6" s="1307"/>
      <c r="AB6" s="1307"/>
      <c r="AC6" s="1308"/>
      <c r="AD6" s="1306"/>
      <c r="AE6" s="1307"/>
      <c r="AF6" s="1307"/>
      <c r="AG6" s="1307"/>
      <c r="AH6" s="1307"/>
      <c r="AI6" s="1307"/>
      <c r="AJ6" s="1307"/>
      <c r="AK6" s="1307"/>
      <c r="AL6" s="1307"/>
      <c r="AM6" s="1307"/>
      <c r="AN6" s="1307"/>
      <c r="AO6" s="1307"/>
      <c r="AP6" s="1307"/>
      <c r="AQ6" s="1307"/>
      <c r="AR6" s="1307"/>
      <c r="AS6" s="1307"/>
      <c r="AT6" s="1307"/>
      <c r="AU6" s="1307"/>
      <c r="AV6" s="1307"/>
      <c r="AW6" s="1307"/>
      <c r="AX6" s="1307"/>
      <c r="AY6" s="1307"/>
      <c r="AZ6" s="1307"/>
      <c r="BA6" s="1307"/>
      <c r="BB6" s="1308"/>
      <c r="BC6" s="781"/>
      <c r="BE6" s="69"/>
      <c r="BF6" s="69" t="str">
        <f t="shared" si="0"/>
        <v/>
      </c>
      <c r="BG6" s="69"/>
      <c r="BH6" s="69"/>
      <c r="BI6" s="68">
        <v>0</v>
      </c>
    </row>
    <row r="7" spans="1:61" s="68" customFormat="1" ht="14.25" hidden="1" customHeight="1">
      <c r="A7" s="145"/>
      <c r="B7" s="145"/>
      <c r="C7" s="145"/>
      <c r="D7" s="145"/>
      <c r="E7" s="1276"/>
      <c r="F7" s="1276"/>
      <c r="G7" s="1276"/>
      <c r="H7" s="1276"/>
      <c r="I7" s="1278"/>
      <c r="J7" s="1277" t="str">
        <f>S5&amp;".1"</f>
        <v>.1</v>
      </c>
      <c r="K7" s="145"/>
      <c r="L7" s="346"/>
      <c r="M7" s="290"/>
      <c r="N7" s="290"/>
      <c r="O7" s="290"/>
      <c r="P7" s="1279"/>
      <c r="Q7" s="1279">
        <v>1</v>
      </c>
      <c r="R7" s="209"/>
      <c r="S7" s="362"/>
      <c r="T7" s="794"/>
      <c r="U7" s="780"/>
      <c r="V7" s="1307"/>
      <c r="W7" s="1307"/>
      <c r="X7" s="1307"/>
      <c r="Y7" s="1307"/>
      <c r="Z7" s="1307"/>
      <c r="AA7" s="1307"/>
      <c r="AB7" s="1307"/>
      <c r="AC7" s="1308"/>
      <c r="AD7" s="1306"/>
      <c r="AE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8"/>
      <c r="BC7" s="781"/>
      <c r="BE7" s="69"/>
      <c r="BF7" s="69" t="str">
        <f t="shared" si="0"/>
        <v/>
      </c>
      <c r="BG7" s="69"/>
      <c r="BH7" s="69"/>
      <c r="BI7" s="68">
        <v>0</v>
      </c>
    </row>
    <row r="8" spans="1:61" ht="11.25" hidden="1" customHeight="1">
      <c r="A8" s="769"/>
      <c r="B8" s="769"/>
      <c r="C8" s="769"/>
      <c r="D8" s="769"/>
      <c r="E8" s="1276"/>
      <c r="F8" s="1276"/>
      <c r="G8" s="1276"/>
      <c r="H8" s="1276"/>
      <c r="I8" s="1278"/>
      <c r="J8" s="1278"/>
      <c r="K8" s="1277" t="e">
        <f>S4&amp;".1"</f>
        <v>#N/A</v>
      </c>
      <c r="L8" s="770"/>
      <c r="P8" s="1279"/>
      <c r="Q8" s="1279"/>
      <c r="R8" s="1335">
        <v>1</v>
      </c>
      <c r="S8" s="1332" t="e">
        <f>$K8</f>
        <v>#N/A</v>
      </c>
      <c r="T8" s="1352"/>
      <c r="U8" s="171"/>
      <c r="V8" s="306"/>
      <c r="W8" s="728"/>
      <c r="X8" s="306"/>
      <c r="Y8" s="728"/>
      <c r="Z8" s="943"/>
      <c r="AA8" s="297" t="s">
        <v>66</v>
      </c>
      <c r="AB8" s="943"/>
      <c r="AC8" s="297" t="s">
        <v>66</v>
      </c>
      <c r="AD8" s="1220" t="s">
        <v>66</v>
      </c>
      <c r="AE8" s="1328"/>
      <c r="AF8" s="1233">
        <v>1</v>
      </c>
      <c r="AG8" s="1351"/>
      <c r="AH8" s="1158" t="s">
        <v>66</v>
      </c>
      <c r="AI8" s="1328"/>
      <c r="AJ8" s="1233">
        <v>1</v>
      </c>
      <c r="AK8" s="1342" t="s">
        <v>22</v>
      </c>
      <c r="AL8" s="1158" t="s">
        <v>66</v>
      </c>
      <c r="AM8" s="1208"/>
      <c r="AN8" s="1233">
        <v>1</v>
      </c>
      <c r="AO8" s="1355"/>
      <c r="AP8" s="1356" t="s">
        <v>66</v>
      </c>
      <c r="AQ8" s="180"/>
      <c r="AR8" s="268">
        <v>1</v>
      </c>
      <c r="AS8" s="119" t="s">
        <v>22</v>
      </c>
      <c r="AT8" s="306"/>
      <c r="AU8" s="728"/>
      <c r="AV8" s="306"/>
      <c r="AW8" s="728"/>
      <c r="AX8" s="943"/>
      <c r="AY8" s="297" t="s">
        <v>66</v>
      </c>
      <c r="AZ8" s="943"/>
      <c r="BA8" s="297" t="s">
        <v>66</v>
      </c>
      <c r="BB8" s="766"/>
      <c r="BC8" s="1298" t="s">
        <v>505</v>
      </c>
      <c r="BE8" s="69"/>
      <c r="BF8" s="69" t="str">
        <f t="shared" si="0"/>
        <v/>
      </c>
      <c r="BG8" s="69"/>
      <c r="BH8" s="69"/>
      <c r="BI8" s="11">
        <v>0</v>
      </c>
    </row>
    <row r="9" spans="1:61" ht="11.25" hidden="1" customHeight="1">
      <c r="A9" s="769"/>
      <c r="B9" s="769"/>
      <c r="C9" s="769"/>
      <c r="D9" s="769"/>
      <c r="E9" s="1276"/>
      <c r="F9" s="1276"/>
      <c r="G9" s="1276"/>
      <c r="H9" s="1276"/>
      <c r="I9" s="1278"/>
      <c r="J9" s="1278"/>
      <c r="K9" s="1277"/>
      <c r="L9" s="770"/>
      <c r="P9" s="1279"/>
      <c r="Q9" s="1279"/>
      <c r="R9" s="1335"/>
      <c r="S9" s="1333"/>
      <c r="T9" s="1353"/>
      <c r="U9" s="171"/>
      <c r="V9" s="789"/>
      <c r="W9" s="819"/>
      <c r="X9" s="789"/>
      <c r="Y9" s="819"/>
      <c r="Z9" s="789"/>
      <c r="AA9" s="789"/>
      <c r="AB9" s="789"/>
      <c r="AC9" s="789"/>
      <c r="AD9" s="1221"/>
      <c r="AE9" s="1328"/>
      <c r="AF9" s="1233"/>
      <c r="AG9" s="1351"/>
      <c r="AH9" s="1158"/>
      <c r="AI9" s="1328"/>
      <c r="AJ9" s="1233"/>
      <c r="AK9" s="1342"/>
      <c r="AL9" s="1158"/>
      <c r="AM9" s="1213"/>
      <c r="AN9" s="1233"/>
      <c r="AO9" s="1355"/>
      <c r="AP9" s="1357"/>
      <c r="AQ9" s="184"/>
      <c r="AR9" s="52"/>
      <c r="AS9" s="52" t="s">
        <v>506</v>
      </c>
      <c r="AT9" s="789"/>
      <c r="AU9" s="819"/>
      <c r="AV9" s="789"/>
      <c r="AW9" s="819"/>
      <c r="AX9" s="789"/>
      <c r="AY9" s="789"/>
      <c r="AZ9" s="789"/>
      <c r="BA9" s="789"/>
      <c r="BB9" s="793"/>
      <c r="BC9" s="1299"/>
      <c r="BE9" s="69"/>
      <c r="BF9" s="69"/>
      <c r="BG9" s="69"/>
      <c r="BH9" s="69"/>
      <c r="BI9" s="11">
        <v>0</v>
      </c>
    </row>
    <row r="10" spans="1:61" ht="11.25" hidden="1" customHeight="1">
      <c r="A10" s="769"/>
      <c r="B10" s="769"/>
      <c r="C10" s="769"/>
      <c r="D10" s="769"/>
      <c r="E10" s="1276"/>
      <c r="F10" s="1276"/>
      <c r="G10" s="1276"/>
      <c r="H10" s="1276"/>
      <c r="I10" s="1278"/>
      <c r="J10" s="1278"/>
      <c r="K10" s="1277"/>
      <c r="L10" s="770"/>
      <c r="P10" s="1279"/>
      <c r="Q10" s="1279"/>
      <c r="R10" s="1335"/>
      <c r="S10" s="1333"/>
      <c r="T10" s="1353"/>
      <c r="U10" s="171"/>
      <c r="V10" s="789"/>
      <c r="W10" s="819"/>
      <c r="X10" s="789"/>
      <c r="Y10" s="819"/>
      <c r="Z10" s="789"/>
      <c r="AA10" s="789"/>
      <c r="AB10" s="789"/>
      <c r="AC10" s="789"/>
      <c r="AD10" s="1221"/>
      <c r="AE10" s="1328"/>
      <c r="AF10" s="1233"/>
      <c r="AG10" s="1351"/>
      <c r="AH10" s="1158"/>
      <c r="AI10" s="1328"/>
      <c r="AJ10" s="1233"/>
      <c r="AK10" s="1342"/>
      <c r="AL10" s="1158"/>
      <c r="AM10" s="184"/>
      <c r="AN10" s="823"/>
      <c r="AO10" s="823" t="s">
        <v>507</v>
      </c>
      <c r="AP10" s="52"/>
      <c r="AQ10" s="52"/>
      <c r="AR10" s="52"/>
      <c r="AS10" s="789"/>
      <c r="AT10" s="789"/>
      <c r="AU10" s="819"/>
      <c r="AV10" s="789"/>
      <c r="AW10" s="819"/>
      <c r="AX10" s="789"/>
      <c r="AY10" s="789"/>
      <c r="AZ10" s="789"/>
      <c r="BA10" s="789"/>
      <c r="BB10" s="793"/>
      <c r="BC10" s="1299"/>
      <c r="BE10" s="69"/>
      <c r="BF10" s="69"/>
      <c r="BG10" s="69"/>
      <c r="BH10" s="69"/>
      <c r="BI10" s="11">
        <v>0</v>
      </c>
    </row>
    <row r="11" spans="1:61" ht="11.25" hidden="1" customHeight="1">
      <c r="A11" s="769"/>
      <c r="B11" s="769"/>
      <c r="C11" s="769"/>
      <c r="D11" s="769"/>
      <c r="E11" s="1276"/>
      <c r="F11" s="1276"/>
      <c r="G11" s="1276"/>
      <c r="H11" s="1276"/>
      <c r="I11" s="1278"/>
      <c r="J11" s="1278"/>
      <c r="K11" s="1277"/>
      <c r="L11" s="770"/>
      <c r="P11" s="1279"/>
      <c r="Q11" s="1279"/>
      <c r="R11" s="1335"/>
      <c r="S11" s="1333"/>
      <c r="T11" s="1353"/>
      <c r="U11" s="171"/>
      <c r="V11" s="789"/>
      <c r="W11" s="819"/>
      <c r="X11" s="789"/>
      <c r="Y11" s="819"/>
      <c r="Z11" s="789"/>
      <c r="AA11" s="789"/>
      <c r="AB11" s="789"/>
      <c r="AC11" s="789"/>
      <c r="AD11" s="1221"/>
      <c r="AE11" s="1328"/>
      <c r="AF11" s="1233"/>
      <c r="AG11" s="1351"/>
      <c r="AH11" s="1158"/>
      <c r="AI11" s="169"/>
      <c r="AJ11" s="110"/>
      <c r="AK11" s="182" t="s">
        <v>508</v>
      </c>
      <c r="AL11" s="789"/>
      <c r="AM11" s="789"/>
      <c r="AN11" s="789"/>
      <c r="AO11" s="789"/>
      <c r="AP11" s="789"/>
      <c r="AQ11" s="789"/>
      <c r="AR11" s="789"/>
      <c r="AS11" s="789"/>
      <c r="AT11" s="789"/>
      <c r="AU11" s="819"/>
      <c r="AV11" s="789"/>
      <c r="AW11" s="819"/>
      <c r="AX11" s="789"/>
      <c r="AY11" s="789"/>
      <c r="AZ11" s="789"/>
      <c r="BA11" s="789"/>
      <c r="BB11" s="793"/>
      <c r="BC11" s="1299"/>
      <c r="BE11" s="69"/>
      <c r="BF11" s="69"/>
      <c r="BG11" s="69"/>
      <c r="BH11" s="69"/>
      <c r="BI11" s="11">
        <v>0</v>
      </c>
    </row>
    <row r="12" spans="1:61" ht="11.25" hidden="1" customHeight="1">
      <c r="A12" s="769"/>
      <c r="B12" s="769"/>
      <c r="C12" s="769"/>
      <c r="D12" s="769"/>
      <c r="E12" s="1276"/>
      <c r="F12" s="1276"/>
      <c r="G12" s="1276"/>
      <c r="H12" s="1276"/>
      <c r="I12" s="1278"/>
      <c r="J12" s="1278"/>
      <c r="K12" s="1277"/>
      <c r="L12" s="770"/>
      <c r="P12" s="1279"/>
      <c r="Q12" s="1279"/>
      <c r="R12" s="1335"/>
      <c r="S12" s="1334"/>
      <c r="T12" s="1354"/>
      <c r="U12" s="171"/>
      <c r="V12" s="789"/>
      <c r="W12" s="790" t="str">
        <f>Z8&amp;"-"&amp;AB8</f>
        <v>-</v>
      </c>
      <c r="X12" s="789"/>
      <c r="Y12" s="790" t="str">
        <f>AB8&amp;"-"&amp;AD8</f>
        <v>-да</v>
      </c>
      <c r="Z12" s="789"/>
      <c r="AA12" s="789"/>
      <c r="AB12" s="789"/>
      <c r="AC12" s="789"/>
      <c r="AD12" s="1163"/>
      <c r="AE12" s="181"/>
      <c r="AF12" s="183"/>
      <c r="AG12" s="52" t="s">
        <v>509</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299"/>
      <c r="BE12" s="69"/>
      <c r="BF12" s="69" t="str">
        <f t="shared" ref="BF12:BF18" si="1">IF(T12="","",T12)</f>
        <v/>
      </c>
      <c r="BG12" s="69"/>
      <c r="BH12" s="69"/>
      <c r="BI12" s="11">
        <v>0</v>
      </c>
    </row>
    <row r="13" spans="1:61" ht="11.25" hidden="1" customHeight="1">
      <c r="A13" s="769"/>
      <c r="B13" s="769"/>
      <c r="C13" s="769"/>
      <c r="D13" s="769"/>
      <c r="E13" s="1276"/>
      <c r="F13" s="1276"/>
      <c r="G13" s="1276"/>
      <c r="H13" s="1276"/>
      <c r="I13" s="1278"/>
      <c r="J13" s="1277"/>
      <c r="K13" s="769"/>
      <c r="L13" s="770"/>
      <c r="P13" s="1279"/>
      <c r="Q13" s="1279"/>
      <c r="R13" s="208"/>
      <c r="S13" s="742"/>
      <c r="T13" s="166" t="s">
        <v>472</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0"/>
      <c r="BE13" s="69"/>
      <c r="BF13" s="69" t="str">
        <f t="shared" si="1"/>
        <v>Добавить строку</v>
      </c>
      <c r="BG13" s="69"/>
      <c r="BH13" s="69"/>
      <c r="BI13" s="11">
        <v>0</v>
      </c>
    </row>
    <row r="14" spans="1:61" s="68" customFormat="1" ht="14.25" hidden="1" customHeight="1">
      <c r="A14" s="145"/>
      <c r="B14" s="145"/>
      <c r="C14" s="145"/>
      <c r="D14" s="145"/>
      <c r="E14" s="1276"/>
      <c r="F14" s="1276"/>
      <c r="G14" s="1276"/>
      <c r="H14" s="1276"/>
      <c r="I14" s="1277"/>
      <c r="J14" s="145"/>
      <c r="K14" s="145"/>
      <c r="L14" s="346"/>
      <c r="M14" s="290"/>
      <c r="N14" s="290"/>
      <c r="O14" s="290"/>
      <c r="P14" s="1279"/>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6"/>
      <c r="F15" s="1276"/>
      <c r="G15" s="1276"/>
      <c r="H15" s="1275"/>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6"/>
      <c r="F16" s="1276"/>
      <c r="G16" s="1275"/>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6"/>
      <c r="F17" s="1275"/>
      <c r="G17" s="145"/>
      <c r="H17" s="145"/>
      <c r="I17" s="145"/>
      <c r="J17" s="145"/>
      <c r="K17" s="145"/>
      <c r="L17" s="346"/>
      <c r="M17" s="759"/>
      <c r="N17" s="759"/>
      <c r="P17" s="104"/>
      <c r="Q17" s="755"/>
      <c r="R17" s="104"/>
      <c r="S17" s="760"/>
      <c r="T17" s="762" t="s">
        <v>419</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5"/>
      <c r="F18" s="145"/>
      <c r="G18" s="145"/>
      <c r="H18" s="145"/>
      <c r="I18" s="145"/>
      <c r="J18" s="145"/>
      <c r="K18" s="145"/>
      <c r="L18" s="346"/>
      <c r="M18" s="759"/>
      <c r="N18" s="759"/>
      <c r="P18" s="104"/>
      <c r="Q18" s="755"/>
      <c r="R18" s="104"/>
      <c r="S18" s="760"/>
      <c r="T18" s="762" t="s">
        <v>420</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421</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422</v>
      </c>
      <c r="P24" s="830"/>
      <c r="Q24" s="831"/>
      <c r="R24" s="831"/>
      <c r="AA24" s="829" t="s">
        <v>424</v>
      </c>
      <c r="AC24" s="829" t="s">
        <v>425</v>
      </c>
      <c r="AD24" s="829" t="s">
        <v>473</v>
      </c>
      <c r="AH24" s="829" t="s">
        <v>473</v>
      </c>
      <c r="AK24" s="829" t="s">
        <v>510</v>
      </c>
      <c r="AL24" s="829" t="s">
        <v>473</v>
      </c>
      <c r="AP24" s="829" t="s">
        <v>473</v>
      </c>
      <c r="AY24" s="829" t="s">
        <v>424</v>
      </c>
      <c r="BA24" s="829" t="s">
        <v>425</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59"/>
      <c r="BI28" s="11">
        <v>14</v>
      </c>
    </row>
    <row r="29" spans="1:61" ht="14.65" customHeight="1">
      <c r="Q29" s="168"/>
      <c r="R29" s="28"/>
      <c r="S29" s="1229" t="str">
        <f>IF(org=0,"Не определено",org)</f>
        <v>ООО "Инженерные сети"</v>
      </c>
      <c r="T29" s="1229"/>
      <c r="U29" s="1229"/>
      <c r="V29" s="1229"/>
      <c r="W29" s="1229"/>
      <c r="X29" s="1229"/>
      <c r="Y29" s="1229"/>
      <c r="Z29" s="1229"/>
      <c r="AA29" s="1229"/>
      <c r="AB29" s="1229"/>
      <c r="AC29" s="1229"/>
      <c r="AD29" s="1229"/>
      <c r="AE29" s="1229"/>
      <c r="AF29" s="1229"/>
      <c r="AG29" s="1229"/>
      <c r="AH29" s="1229"/>
      <c r="AI29" s="1229"/>
      <c r="AJ29" s="1229"/>
      <c r="AK29" s="1229"/>
      <c r="AL29" s="1229"/>
      <c r="AM29" s="1229"/>
      <c r="AN29" s="1229"/>
      <c r="AO29" s="1229"/>
      <c r="AP29" s="1229"/>
      <c r="AQ29" s="1229"/>
      <c r="AR29" s="1229"/>
      <c r="AS29" s="1229"/>
      <c r="AT29" s="1229"/>
      <c r="AU29" s="1229"/>
      <c r="AV29" s="1229"/>
      <c r="AW29" s="1229"/>
      <c r="AX29" s="1229"/>
      <c r="AY29" s="1229"/>
      <c r="AZ29" s="1229"/>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6" t="s">
        <v>42</v>
      </c>
      <c r="T31" s="1266"/>
      <c r="U31" s="773"/>
      <c r="V31" s="1268" t="str">
        <f>IF(TITLE_NAME_OR_PR_CHANGE="",IF(TITLE_NAME_OR_PR="","",TITLE_NAME_OR_PR),TITLE_NAME_OR_PR_CHANGE)</f>
        <v/>
      </c>
      <c r="W31" s="1268"/>
      <c r="X31" s="1268"/>
      <c r="Y31" s="1268"/>
      <c r="Z31" s="1268"/>
      <c r="AA31" s="1268"/>
      <c r="AB31" s="1268"/>
      <c r="AC31" s="11"/>
      <c r="AD31" s="1268" t="str">
        <f>IF(TITLE_NAME_OR_PR_CHANGE="",IF(TITLE_NAME_OR_PR="","",TITLE_NAME_OR_PR),TITLE_NAME_OR_PR_CHANGE)</f>
        <v/>
      </c>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6" t="s">
        <v>427</v>
      </c>
      <c r="T32" s="1266"/>
      <c r="U32" s="773"/>
      <c r="V32" s="1267" t="str">
        <f>IF(TITLE_DATE_PR_CHANGE="",IF(TITLE_DATE_PR="","",TITLE_DATE_PR),TITLE_DATE_PR_CHANGE)</f>
        <v/>
      </c>
      <c r="W32" s="1267"/>
      <c r="X32" s="1267"/>
      <c r="Y32" s="1267"/>
      <c r="Z32" s="1267"/>
      <c r="AA32" s="1267"/>
      <c r="AB32" s="1267"/>
      <c r="AC32" s="11"/>
      <c r="AD32" s="1267" t="str">
        <f>IF(TITLE_DATE_PR_CHANGE="",IF(TITLE_DATE_PR="","",TITLE_DATE_PR),TITLE_DATE_PR_CHANGE)</f>
        <v/>
      </c>
      <c r="AE32" s="1267"/>
      <c r="AF32" s="1267"/>
      <c r="AG32" s="1267"/>
      <c r="AH32" s="1267"/>
      <c r="AI32" s="1267"/>
      <c r="AJ32" s="1267"/>
      <c r="AK32" s="1267"/>
      <c r="AL32" s="1267"/>
      <c r="AM32" s="1267"/>
      <c r="AN32" s="1267"/>
      <c r="AO32" s="1267"/>
      <c r="AP32" s="1267"/>
      <c r="AQ32" s="1267"/>
      <c r="AR32" s="1267"/>
      <c r="AS32" s="1267"/>
      <c r="AT32" s="1267"/>
      <c r="AU32" s="1267"/>
      <c r="AV32" s="1267"/>
      <c r="AW32" s="1267"/>
      <c r="AX32" s="1267"/>
      <c r="AY32" s="1267"/>
      <c r="AZ32" s="1267"/>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6" t="s">
        <v>428</v>
      </c>
      <c r="T33" s="1266"/>
      <c r="U33" s="773"/>
      <c r="V33" s="1268" t="str">
        <f>IF(TITLE_NUMBER_PR_CHANGE="",IF(TITLE_NUMBER_PR="","",TITLE_NUMBER_PR),TITLE_NUMBER_PR_CHANGE)</f>
        <v/>
      </c>
      <c r="W33" s="1268"/>
      <c r="X33" s="1268"/>
      <c r="Y33" s="1268"/>
      <c r="Z33" s="1268"/>
      <c r="AA33" s="1268"/>
      <c r="AB33" s="1268"/>
      <c r="AC33" s="11"/>
      <c r="AD33" s="1268" t="str">
        <f>IF(TITLE_NUMBER_PR_CHANGE="",IF(TITLE_NUMBER_PR="","",TITLE_NUMBER_PR),TITLE_NUMBER_PR_CHANGE)</f>
        <v/>
      </c>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6" t="s">
        <v>43</v>
      </c>
      <c r="T34" s="1266"/>
      <c r="U34" s="773"/>
      <c r="V34" s="1268" t="str">
        <f>IF(TITLE_IST_PUB_CHANGE="",IF(TITLE_IST_PUB="","",TITLE_IST_PUB),TITLE_IST_PUB_CHANGE)</f>
        <v/>
      </c>
      <c r="W34" s="1268"/>
      <c r="X34" s="1268"/>
      <c r="Y34" s="1268"/>
      <c r="Z34" s="1268"/>
      <c r="AA34" s="1268"/>
      <c r="AB34" s="1268"/>
      <c r="AC34" s="11"/>
      <c r="AD34" s="1268" t="str">
        <f>IF(TITLE_IST_PUB_CHANGE="",IF(TITLE_IST_PUB="","",TITLE_IST_PUB),TITLE_IST_PUB_CHANGE)</f>
        <v/>
      </c>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6" t="s">
        <v>427</v>
      </c>
      <c r="T36" s="1266"/>
      <c r="U36" s="773"/>
      <c r="V36" s="1267" t="str">
        <f>IF(TITLE_DATE_PR_CHANGE="",IF(TITLE_DATE_PR="","",TITLE_DATE_PR),TITLE_DATE_PR_CHANGE)</f>
        <v/>
      </c>
      <c r="W36" s="1267"/>
      <c r="X36" s="1267"/>
      <c r="Y36" s="1267"/>
      <c r="Z36" s="1267"/>
      <c r="AA36" s="1267"/>
      <c r="AB36" s="1267"/>
      <c r="AC36" s="11"/>
      <c r="AD36" s="1267" t="str">
        <f>IF(TITLE_DATE_PR_CHANGE="",IF(TITLE_DATE_PR="","",TITLE_DATE_PR),TITLE_DATE_PR_CHANGE)</f>
        <v/>
      </c>
      <c r="AE36" s="1267"/>
      <c r="AF36" s="1267"/>
      <c r="AG36" s="1267"/>
      <c r="AH36" s="1267"/>
      <c r="AI36" s="1267"/>
      <c r="AJ36" s="1267"/>
      <c r="AK36" s="1267"/>
      <c r="AL36" s="1267"/>
      <c r="AM36" s="1267"/>
      <c r="AN36" s="1267"/>
      <c r="AO36" s="1267"/>
      <c r="AP36" s="1267"/>
      <c r="AQ36" s="1267"/>
      <c r="AR36" s="1267"/>
      <c r="AS36" s="1267"/>
      <c r="AT36" s="1267"/>
      <c r="AU36" s="1267"/>
      <c r="AV36" s="1267"/>
      <c r="AW36" s="1267"/>
      <c r="AX36" s="1267"/>
      <c r="AY36" s="1267"/>
      <c r="AZ36" s="1267"/>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6" t="s">
        <v>428</v>
      </c>
      <c r="T37" s="1266"/>
      <c r="U37" s="773"/>
      <c r="V37" s="1268" t="str">
        <f>IF(TITLE_NUMBER_PR_CHANGE="",IF(TITLE_NUMBER_PR="","",TITLE_NUMBER_PR),TITLE_NUMBER_PR_CHANGE)</f>
        <v/>
      </c>
      <c r="W37" s="1268"/>
      <c r="X37" s="1268"/>
      <c r="Y37" s="1268"/>
      <c r="Z37" s="1268"/>
      <c r="AA37" s="1268"/>
      <c r="AB37" s="1268"/>
      <c r="AC37" s="11"/>
      <c r="AD37" s="1268" t="str">
        <f>IF(TITLE_NUMBER_PR_CHANGE="",IF(TITLE_NUMBER_PR="","",TITLE_NUMBER_PR),TITLE_NUMBER_PR_CHANGE)</f>
        <v/>
      </c>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431</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431</v>
      </c>
      <c r="BD38" s="69"/>
      <c r="BE38" s="69"/>
      <c r="BF38" s="69"/>
      <c r="BG38" s="69"/>
      <c r="BH38" s="69"/>
      <c r="BI38" s="35">
        <v>0</v>
      </c>
    </row>
    <row r="39" spans="1:61" ht="14.65" customHeight="1">
      <c r="Q39" s="168"/>
      <c r="R39" s="28"/>
      <c r="S39" s="739"/>
      <c r="T39" s="10"/>
      <c r="U39" s="720"/>
      <c r="V39" s="1287"/>
      <c r="W39" s="1287"/>
      <c r="X39" s="1287"/>
      <c r="Y39" s="1287"/>
      <c r="Z39" s="1287"/>
      <c r="AA39" s="1287"/>
      <c r="AB39" s="1287"/>
      <c r="AC39" s="1287"/>
      <c r="AD39" s="1287"/>
      <c r="AE39" s="1287"/>
      <c r="AF39" s="1287"/>
      <c r="AG39" s="1287"/>
      <c r="AH39" s="1287"/>
      <c r="AI39" s="1287"/>
      <c r="AJ39" s="1287"/>
      <c r="AK39" s="1287"/>
      <c r="AL39" s="1287"/>
      <c r="AM39" s="1287"/>
      <c r="AN39" s="1287"/>
      <c r="AO39" s="1287"/>
      <c r="AP39" s="1287"/>
      <c r="AQ39" s="1287"/>
      <c r="AR39" s="1287"/>
      <c r="AS39" s="1287"/>
      <c r="AT39" s="1287"/>
      <c r="AU39" s="1287"/>
      <c r="AV39" s="1287"/>
      <c r="AW39" s="1287"/>
      <c r="AX39" s="1287"/>
      <c r="AY39" s="1287"/>
      <c r="AZ39" s="1287"/>
      <c r="BA39" s="1287"/>
      <c r="BI39" s="11">
        <v>14</v>
      </c>
    </row>
    <row r="40" spans="1:61" ht="14.65" customHeight="1">
      <c r="Q40" s="168"/>
      <c r="R40" s="28"/>
      <c r="S40" s="1148" t="s">
        <v>304</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305</v>
      </c>
      <c r="BI40" s="11">
        <v>14</v>
      </c>
    </row>
    <row r="41" spans="1:61" ht="14.65" customHeight="1">
      <c r="Q41" s="168"/>
      <c r="R41" s="28"/>
      <c r="S41" s="1288" t="s">
        <v>88</v>
      </c>
      <c r="T41" s="1237" t="s">
        <v>511</v>
      </c>
      <c r="U41" s="172"/>
      <c r="V41" s="1289" t="s">
        <v>433</v>
      </c>
      <c r="W41" s="1290"/>
      <c r="X41" s="1290"/>
      <c r="Y41" s="1290"/>
      <c r="Z41" s="1290"/>
      <c r="AA41" s="1290"/>
      <c r="AB41" s="1291"/>
      <c r="AC41" s="1292" t="s">
        <v>434</v>
      </c>
      <c r="AD41" s="1321" t="s">
        <v>512</v>
      </c>
      <c r="AE41" s="1305"/>
      <c r="AF41" s="1305"/>
      <c r="AG41" s="1322"/>
      <c r="AH41" s="1321" t="s">
        <v>513</v>
      </c>
      <c r="AI41" s="1305"/>
      <c r="AJ41" s="1305"/>
      <c r="AK41" s="1322"/>
      <c r="AL41" s="1321" t="s">
        <v>514</v>
      </c>
      <c r="AM41" s="1305"/>
      <c r="AN41" s="1305"/>
      <c r="AO41" s="1322"/>
      <c r="AP41" s="1321" t="s">
        <v>515</v>
      </c>
      <c r="AQ41" s="1305"/>
      <c r="AR41" s="1305"/>
      <c r="AS41" s="1322"/>
      <c r="AT41" s="1289" t="s">
        <v>433</v>
      </c>
      <c r="AU41" s="1290"/>
      <c r="AV41" s="1290"/>
      <c r="AW41" s="1290"/>
      <c r="AX41" s="1290"/>
      <c r="AY41" s="1290"/>
      <c r="AZ41" s="1291"/>
      <c r="BA41" s="1292" t="s">
        <v>434</v>
      </c>
      <c r="BB41" s="1295" t="s">
        <v>436</v>
      </c>
      <c r="BC41" s="1148"/>
      <c r="BI41" s="11">
        <v>14</v>
      </c>
    </row>
    <row r="42" spans="1:61" ht="35.65" customHeight="1">
      <c r="Q42" s="168"/>
      <c r="R42" s="28"/>
      <c r="S42" s="1288"/>
      <c r="T42" s="1237"/>
      <c r="U42" s="607"/>
      <c r="V42" s="1208" t="s">
        <v>516</v>
      </c>
      <c r="W42" s="1209"/>
      <c r="X42" s="1208" t="s">
        <v>517</v>
      </c>
      <c r="Y42" s="1209"/>
      <c r="Z42" s="1208" t="s">
        <v>518</v>
      </c>
      <c r="AA42" s="1317"/>
      <c r="AB42" s="1209"/>
      <c r="AC42" s="1293"/>
      <c r="AD42" s="1323"/>
      <c r="AE42" s="1324"/>
      <c r="AF42" s="1324"/>
      <c r="AG42" s="1336"/>
      <c r="AH42" s="1323"/>
      <c r="AI42" s="1324"/>
      <c r="AJ42" s="1324"/>
      <c r="AK42" s="1336"/>
      <c r="AL42" s="1323"/>
      <c r="AM42" s="1324"/>
      <c r="AN42" s="1324"/>
      <c r="AO42" s="1336"/>
      <c r="AP42" s="1323"/>
      <c r="AQ42" s="1324"/>
      <c r="AR42" s="1324"/>
      <c r="AS42" s="1336"/>
      <c r="AT42" s="1208" t="s">
        <v>516</v>
      </c>
      <c r="AU42" s="1209"/>
      <c r="AV42" s="1208" t="s">
        <v>517</v>
      </c>
      <c r="AW42" s="1209"/>
      <c r="AX42" s="1208" t="s">
        <v>518</v>
      </c>
      <c r="AY42" s="1317"/>
      <c r="AZ42" s="1209"/>
      <c r="BA42" s="1293"/>
      <c r="BB42" s="1296"/>
      <c r="BC42" s="1148"/>
      <c r="BI42" s="11">
        <v>34</v>
      </c>
    </row>
    <row r="43" spans="1:61" ht="14.65" customHeight="1">
      <c r="Q43" s="168"/>
      <c r="R43" s="28"/>
      <c r="S43" s="1288"/>
      <c r="T43" s="1237"/>
      <c r="U43" s="607"/>
      <c r="V43" s="1213"/>
      <c r="W43" s="1214"/>
      <c r="X43" s="1213"/>
      <c r="Y43" s="1214"/>
      <c r="Z43" s="1213"/>
      <c r="AA43" s="1318"/>
      <c r="AB43" s="1214"/>
      <c r="AC43" s="1293"/>
      <c r="AD43" s="1323"/>
      <c r="AE43" s="1324"/>
      <c r="AF43" s="1324"/>
      <c r="AG43" s="1336"/>
      <c r="AH43" s="1323"/>
      <c r="AI43" s="1324"/>
      <c r="AJ43" s="1324"/>
      <c r="AK43" s="1336"/>
      <c r="AL43" s="1323"/>
      <c r="AM43" s="1324"/>
      <c r="AN43" s="1324"/>
      <c r="AO43" s="1336"/>
      <c r="AP43" s="1323"/>
      <c r="AQ43" s="1324"/>
      <c r="AR43" s="1324"/>
      <c r="AS43" s="1336"/>
      <c r="AT43" s="1213"/>
      <c r="AU43" s="1214"/>
      <c r="AV43" s="1213"/>
      <c r="AW43" s="1214"/>
      <c r="AX43" s="1213"/>
      <c r="AY43" s="1318"/>
      <c r="AZ43" s="1214"/>
      <c r="BA43" s="1293"/>
      <c r="BB43" s="1296"/>
      <c r="BC43" s="1148"/>
      <c r="BI43" s="11">
        <v>14</v>
      </c>
    </row>
    <row r="44" spans="1:61" ht="14.65" customHeight="1">
      <c r="A44" s="82"/>
      <c r="B44" s="82" t="s">
        <v>141</v>
      </c>
      <c r="C44" s="82" t="s">
        <v>142</v>
      </c>
      <c r="D44" s="82" t="s">
        <v>143</v>
      </c>
      <c r="E44" s="770" t="s">
        <v>441</v>
      </c>
      <c r="F44" s="770" t="s">
        <v>442</v>
      </c>
      <c r="G44" s="770" t="s">
        <v>443</v>
      </c>
      <c r="H44" s="770" t="s">
        <v>444</v>
      </c>
      <c r="I44" s="770" t="s">
        <v>445</v>
      </c>
      <c r="J44" s="770" t="s">
        <v>446</v>
      </c>
      <c r="K44" s="770" t="s">
        <v>447</v>
      </c>
      <c r="L44" s="770" t="s">
        <v>422</v>
      </c>
      <c r="Q44" s="168"/>
      <c r="R44" s="28"/>
      <c r="S44" s="1288"/>
      <c r="T44" s="1237"/>
      <c r="U44" s="173"/>
      <c r="V44" s="36" t="s">
        <v>482</v>
      </c>
      <c r="W44" s="36" t="s">
        <v>483</v>
      </c>
      <c r="X44" s="36" t="s">
        <v>482</v>
      </c>
      <c r="Y44" s="36" t="s">
        <v>483</v>
      </c>
      <c r="Z44" s="39" t="s">
        <v>450</v>
      </c>
      <c r="AA44" s="1242" t="s">
        <v>451</v>
      </c>
      <c r="AB44" s="1255"/>
      <c r="AC44" s="1294"/>
      <c r="AD44" s="1325"/>
      <c r="AE44" s="1326"/>
      <c r="AF44" s="1326"/>
      <c r="AG44" s="1327"/>
      <c r="AH44" s="1325"/>
      <c r="AI44" s="1326"/>
      <c r="AJ44" s="1326"/>
      <c r="AK44" s="1327"/>
      <c r="AL44" s="1325"/>
      <c r="AM44" s="1326"/>
      <c r="AN44" s="1326"/>
      <c r="AO44" s="1327"/>
      <c r="AP44" s="1325"/>
      <c r="AQ44" s="1326"/>
      <c r="AR44" s="1326"/>
      <c r="AS44" s="1327"/>
      <c r="AT44" s="36" t="s">
        <v>482</v>
      </c>
      <c r="AU44" s="36" t="s">
        <v>483</v>
      </c>
      <c r="AV44" s="36" t="s">
        <v>482</v>
      </c>
      <c r="AW44" s="36" t="s">
        <v>483</v>
      </c>
      <c r="AX44" s="39" t="s">
        <v>450</v>
      </c>
      <c r="AY44" s="1242" t="s">
        <v>451</v>
      </c>
      <c r="AZ44" s="1255"/>
      <c r="BA44" s="1294"/>
      <c r="BB44" s="1297"/>
      <c r="BC44" s="1148"/>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115</v>
      </c>
      <c r="T45" s="726" t="s">
        <v>103</v>
      </c>
      <c r="U45" s="721" t="str">
        <f ca="1">OFFSET(U45,0,-1)</f>
        <v>2</v>
      </c>
      <c r="V45" s="727">
        <f t="shared" ref="V45:AA45" ca="1" si="2">OFFSET(V45,0,-1)+1</f>
        <v>3</v>
      </c>
      <c r="W45" s="727">
        <f t="shared" ca="1" si="2"/>
        <v>4</v>
      </c>
      <c r="X45" s="727">
        <f t="shared" ca="1" si="2"/>
        <v>5</v>
      </c>
      <c r="Y45" s="727">
        <f t="shared" ca="1" si="2"/>
        <v>6</v>
      </c>
      <c r="Z45" s="727">
        <f t="shared" ca="1" si="2"/>
        <v>7</v>
      </c>
      <c r="AA45" s="1286">
        <f t="shared" ca="1" si="2"/>
        <v>8</v>
      </c>
      <c r="AB45" s="1286"/>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6">
        <f ca="1">OFFSET(AY45,0,-1)+1</f>
        <v>3</v>
      </c>
      <c r="AZ45" s="1286"/>
      <c r="BA45" s="727">
        <f ca="1">OFFSET(BA45,0,-2)+1</f>
        <v>4</v>
      </c>
      <c r="BB45" s="721">
        <f ca="1">OFFSET(BB45,0,-1)</f>
        <v>4</v>
      </c>
      <c r="BC45" s="727">
        <f ca="1">OFFSET(BC45,0,-1)+1</f>
        <v>5</v>
      </c>
      <c r="BD45" s="68"/>
      <c r="BE45" s="68"/>
      <c r="BF45" s="68"/>
      <c r="BG45" s="68"/>
      <c r="BH45" s="68"/>
      <c r="BI45" s="203">
        <v>0</v>
      </c>
    </row>
    <row r="46" spans="1:61" ht="21.95" customHeight="1">
      <c r="A46" s="769" t="s">
        <v>250</v>
      </c>
      <c r="B46" s="769"/>
      <c r="C46" s="769"/>
      <c r="D46" s="769"/>
      <c r="E46" s="1275">
        <v>1</v>
      </c>
      <c r="F46" s="769"/>
      <c r="G46" s="769"/>
      <c r="H46" s="769"/>
      <c r="I46" s="769"/>
      <c r="J46" s="769"/>
      <c r="K46" s="769"/>
      <c r="L46" s="770"/>
      <c r="M46" s="426"/>
      <c r="N46" s="426"/>
      <c r="O46" s="426"/>
      <c r="Q46" s="62"/>
      <c r="R46" s="207"/>
      <c r="S46" s="709">
        <f>INDEX(PT_DIFFERENTIATION_NUM_NTAR,MATCH(A46,PT_DIFFERENTIATION_NTAR_ID,0))</f>
        <v>0</v>
      </c>
      <c r="T46" s="67" t="s">
        <v>129</v>
      </c>
      <c r="U46" s="171"/>
      <c r="V46" s="1270"/>
      <c r="W46" s="1270"/>
      <c r="X46" s="1270"/>
      <c r="Y46" s="1270"/>
      <c r="Z46" s="1270"/>
      <c r="AA46" s="1270"/>
      <c r="AB46" s="1270"/>
      <c r="AC46" s="1271"/>
      <c r="AD46" s="1269" t="str">
        <f>INDEX(PT_DIFFERENTIATION_NTAR,MATCH(A46,PT_DIFFERENTIATION_NTAR_ID,0))</f>
        <v/>
      </c>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1"/>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250</v>
      </c>
      <c r="B47" s="769" t="s">
        <v>251</v>
      </c>
      <c r="C47" s="769"/>
      <c r="D47" s="769"/>
      <c r="E47" s="1276"/>
      <c r="F47" s="1275">
        <v>1</v>
      </c>
      <c r="G47" s="769"/>
      <c r="H47" s="769"/>
      <c r="I47" s="769"/>
      <c r="J47" s="769"/>
      <c r="K47" s="769"/>
      <c r="L47" s="770"/>
      <c r="M47" s="426"/>
      <c r="N47" s="426"/>
      <c r="O47" s="426"/>
      <c r="P47" s="301"/>
      <c r="Q47" s="802"/>
      <c r="R47" s="205"/>
      <c r="S47" s="709" t="str">
        <f>INDEX(PT_DIFFERENTIATION_NUM_TER,MATCH(B47,PT_DIFFERENTIATION_TER_ID,0))</f>
        <v>.</v>
      </c>
      <c r="T47" s="177" t="s">
        <v>401</v>
      </c>
      <c r="U47" s="171"/>
      <c r="V47" s="1270"/>
      <c r="W47" s="1270"/>
      <c r="X47" s="1270"/>
      <c r="Y47" s="1270"/>
      <c r="Z47" s="1270"/>
      <c r="AA47" s="1270"/>
      <c r="AB47" s="1270"/>
      <c r="AC47" s="1271"/>
      <c r="AD47" s="1269" t="str">
        <f>INDEX(PT_DIFFERENTIATION_TER,MATCH(B47,PT_DIFFERENTIATION_TER_ID,0))</f>
        <v/>
      </c>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1"/>
      <c r="BC47" s="729" t="s">
        <v>402</v>
      </c>
      <c r="BE47" s="69"/>
      <c r="BF47" s="69" t="str">
        <f t="shared" si="3"/>
        <v>Территория действия тарифа</v>
      </c>
      <c r="BG47" s="69"/>
      <c r="BH47" s="69"/>
      <c r="BI47" s="11">
        <v>21</v>
      </c>
    </row>
    <row r="48" spans="1:61" ht="43.15" customHeight="1">
      <c r="A48" s="769" t="s">
        <v>250</v>
      </c>
      <c r="B48" s="769" t="s">
        <v>251</v>
      </c>
      <c r="C48" s="769" t="s">
        <v>252</v>
      </c>
      <c r="D48" s="769"/>
      <c r="E48" s="1276"/>
      <c r="F48" s="1276"/>
      <c r="G48" s="1275">
        <v>1</v>
      </c>
      <c r="H48" s="769"/>
      <c r="I48" s="769"/>
      <c r="J48" s="769"/>
      <c r="K48" s="769"/>
      <c r="L48" s="770"/>
      <c r="M48" s="426"/>
      <c r="N48" s="426"/>
      <c r="O48" s="426"/>
      <c r="P48" s="131"/>
      <c r="Q48" s="802"/>
      <c r="R48" s="205"/>
      <c r="S48" s="709" t="str">
        <f>INDEX(PT_DIFFERENTIATION_NUM_CS,MATCH(C48,PT_DIFFERENTIATION_CS_ID,0))</f>
        <v>..</v>
      </c>
      <c r="T48" s="178" t="s">
        <v>485</v>
      </c>
      <c r="U48" s="171"/>
      <c r="V48" s="1270"/>
      <c r="W48" s="1270"/>
      <c r="X48" s="1270"/>
      <c r="Y48" s="1270"/>
      <c r="Z48" s="1270"/>
      <c r="AA48" s="1270"/>
      <c r="AB48" s="1270"/>
      <c r="AC48" s="1271"/>
      <c r="AD48" s="1269" t="str">
        <f>INDEX(PT_DIFFERENTIATION_CS,MATCH(C48,PT_DIFFERENTIATION_CS_ID,0))</f>
        <v/>
      </c>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1"/>
      <c r="BC48" s="729" t="s">
        <v>486</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250</v>
      </c>
      <c r="B49" s="145" t="s">
        <v>251</v>
      </c>
      <c r="C49" s="145" t="s">
        <v>252</v>
      </c>
      <c r="D49" s="145" t="s">
        <v>519</v>
      </c>
      <c r="E49" s="1276"/>
      <c r="F49" s="1276"/>
      <c r="G49" s="1276"/>
      <c r="H49" s="1275">
        <v>1</v>
      </c>
      <c r="I49" s="145"/>
      <c r="J49" s="145"/>
      <c r="K49" s="145"/>
      <c r="L49" s="346"/>
      <c r="M49" s="293"/>
      <c r="N49" s="293"/>
      <c r="O49" s="293"/>
      <c r="P49" s="820"/>
      <c r="Q49" s="821"/>
      <c r="R49" s="209"/>
      <c r="S49" s="362"/>
      <c r="T49" s="822"/>
      <c r="U49" s="780"/>
      <c r="V49" s="1307"/>
      <c r="W49" s="1307"/>
      <c r="X49" s="1307"/>
      <c r="Y49" s="1307"/>
      <c r="Z49" s="1307"/>
      <c r="AA49" s="1307"/>
      <c r="AB49" s="1307"/>
      <c r="AC49" s="1308"/>
      <c r="AD49" s="1306"/>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8"/>
      <c r="BC49" s="781" t="s">
        <v>406</v>
      </c>
      <c r="BE49" s="69"/>
      <c r="BF49" s="69" t="str">
        <f t="shared" si="3"/>
        <v/>
      </c>
      <c r="BG49" s="69"/>
      <c r="BH49" s="69"/>
      <c r="BI49" s="68">
        <v>0</v>
      </c>
    </row>
    <row r="50" spans="1:61" s="68" customFormat="1" ht="0" hidden="1" customHeight="1">
      <c r="A50" s="145" t="s">
        <v>250</v>
      </c>
      <c r="B50" s="145" t="s">
        <v>251</v>
      </c>
      <c r="C50" s="145" t="s">
        <v>252</v>
      </c>
      <c r="D50" s="145" t="s">
        <v>519</v>
      </c>
      <c r="E50" s="1276"/>
      <c r="F50" s="1276"/>
      <c r="G50" s="1276"/>
      <c r="H50" s="1276"/>
      <c r="I50" s="1277" t="str">
        <f>S49&amp;".1"</f>
        <v>.1</v>
      </c>
      <c r="J50" s="145"/>
      <c r="K50" s="145"/>
      <c r="L50" s="346" t="s">
        <v>407</v>
      </c>
      <c r="M50" s="290"/>
      <c r="N50" s="290"/>
      <c r="O50" s="290"/>
      <c r="P50" s="1279">
        <v>1</v>
      </c>
      <c r="Q50" s="122"/>
      <c r="R50" s="208"/>
      <c r="S50" s="362"/>
      <c r="T50" s="779"/>
      <c r="U50" s="780"/>
      <c r="V50" s="1307"/>
      <c r="W50" s="1307"/>
      <c r="X50" s="1307"/>
      <c r="Y50" s="1307"/>
      <c r="Z50" s="1307"/>
      <c r="AA50" s="1307"/>
      <c r="AB50" s="1307"/>
      <c r="AC50" s="1308"/>
      <c r="AD50" s="1306"/>
      <c r="AE50" s="1307"/>
      <c r="AF50" s="1307"/>
      <c r="AG50" s="1307"/>
      <c r="AH50" s="1307"/>
      <c r="AI50" s="1307"/>
      <c r="AJ50" s="1307"/>
      <c r="AK50" s="1307"/>
      <c r="AL50" s="1307"/>
      <c r="AM50" s="1307"/>
      <c r="AN50" s="1307"/>
      <c r="AO50" s="1307"/>
      <c r="AP50" s="1307"/>
      <c r="AQ50" s="1307"/>
      <c r="AR50" s="1307"/>
      <c r="AS50" s="1307"/>
      <c r="AT50" s="1307"/>
      <c r="AU50" s="1307"/>
      <c r="AV50" s="1307"/>
      <c r="AW50" s="1307"/>
      <c r="AX50" s="1307"/>
      <c r="AY50" s="1307"/>
      <c r="AZ50" s="1307"/>
      <c r="BA50" s="1307"/>
      <c r="BB50" s="1308"/>
      <c r="BC50" s="781"/>
      <c r="BE50" s="69"/>
      <c r="BF50" s="69" t="str">
        <f t="shared" si="3"/>
        <v/>
      </c>
      <c r="BG50" s="69"/>
      <c r="BH50" s="69"/>
      <c r="BI50" s="68">
        <v>0</v>
      </c>
    </row>
    <row r="51" spans="1:61" s="68" customFormat="1" ht="0" hidden="1" customHeight="1">
      <c r="A51" s="145" t="s">
        <v>250</v>
      </c>
      <c r="B51" s="145" t="s">
        <v>251</v>
      </c>
      <c r="C51" s="145" t="s">
        <v>252</v>
      </c>
      <c r="D51" s="145" t="s">
        <v>519</v>
      </c>
      <c r="E51" s="1276"/>
      <c r="F51" s="1276"/>
      <c r="G51" s="1276"/>
      <c r="H51" s="1276"/>
      <c r="I51" s="1278"/>
      <c r="J51" s="1277" t="str">
        <f>S49&amp;".1"</f>
        <v>.1</v>
      </c>
      <c r="K51" s="145"/>
      <c r="L51" s="346"/>
      <c r="M51" s="290"/>
      <c r="N51" s="290"/>
      <c r="O51" s="290"/>
      <c r="P51" s="1279"/>
      <c r="Q51" s="1279">
        <v>1</v>
      </c>
      <c r="R51" s="209"/>
      <c r="S51" s="362"/>
      <c r="T51" s="794"/>
      <c r="U51" s="780"/>
      <c r="V51" s="1307"/>
      <c r="W51" s="1307"/>
      <c r="X51" s="1307"/>
      <c r="Y51" s="1307"/>
      <c r="Z51" s="1307"/>
      <c r="AA51" s="1307"/>
      <c r="AB51" s="1307"/>
      <c r="AC51" s="1308"/>
      <c r="AD51" s="1306"/>
      <c r="AE51" s="1307"/>
      <c r="AF51" s="1307"/>
      <c r="AG51" s="1307"/>
      <c r="AH51" s="1307"/>
      <c r="AI51" s="1307"/>
      <c r="AJ51" s="1307"/>
      <c r="AK51" s="1307"/>
      <c r="AL51" s="1307"/>
      <c r="AM51" s="1307"/>
      <c r="AN51" s="1358"/>
      <c r="AO51" s="1358"/>
      <c r="AP51" s="1307"/>
      <c r="AQ51" s="1307"/>
      <c r="AR51" s="1307"/>
      <c r="AS51" s="1307"/>
      <c r="AT51" s="1307"/>
      <c r="AU51" s="1307"/>
      <c r="AV51" s="1307"/>
      <c r="AW51" s="1307"/>
      <c r="AX51" s="1307"/>
      <c r="AY51" s="1307"/>
      <c r="AZ51" s="1307"/>
      <c r="BA51" s="1307"/>
      <c r="BB51" s="1308"/>
      <c r="BC51" s="781"/>
      <c r="BE51" s="69"/>
      <c r="BF51" s="69" t="str">
        <f t="shared" si="3"/>
        <v/>
      </c>
      <c r="BG51" s="69"/>
      <c r="BH51" s="69"/>
      <c r="BI51" s="68">
        <v>0</v>
      </c>
    </row>
    <row r="52" spans="1:61" ht="11.45" customHeight="1">
      <c r="A52" s="769" t="s">
        <v>250</v>
      </c>
      <c r="B52" s="769" t="s">
        <v>251</v>
      </c>
      <c r="C52" s="769" t="s">
        <v>252</v>
      </c>
      <c r="D52" s="769" t="s">
        <v>519</v>
      </c>
      <c r="E52" s="1276"/>
      <c r="F52" s="1276"/>
      <c r="G52" s="1276"/>
      <c r="H52" s="1276"/>
      <c r="I52" s="1278"/>
      <c r="J52" s="1278"/>
      <c r="K52" s="1277" t="str">
        <f>S48&amp;".1"</f>
        <v>...1</v>
      </c>
      <c r="L52" s="770"/>
      <c r="P52" s="1279"/>
      <c r="Q52" s="1279"/>
      <c r="R52" s="209">
        <v>1</v>
      </c>
      <c r="S52" s="1332" t="str">
        <f>$K52</f>
        <v>...1</v>
      </c>
      <c r="T52" s="1352"/>
      <c r="U52" s="171"/>
      <c r="V52" s="306"/>
      <c r="W52" s="728"/>
      <c r="X52" s="306"/>
      <c r="Y52" s="728"/>
      <c r="Z52" s="943"/>
      <c r="AA52" s="297" t="s">
        <v>66</v>
      </c>
      <c r="AB52" s="943"/>
      <c r="AC52" s="297" t="s">
        <v>66</v>
      </c>
      <c r="AD52" s="1220" t="s">
        <v>66</v>
      </c>
      <c r="AE52" s="1328"/>
      <c r="AF52" s="1233">
        <v>1</v>
      </c>
      <c r="AG52" s="1351"/>
      <c r="AH52" s="1158" t="s">
        <v>66</v>
      </c>
      <c r="AI52" s="1328"/>
      <c r="AJ52" s="1233">
        <v>1</v>
      </c>
      <c r="AK52" s="1342" t="s">
        <v>22</v>
      </c>
      <c r="AL52" s="1158" t="s">
        <v>66</v>
      </c>
      <c r="AM52" s="1208"/>
      <c r="AN52" s="1233">
        <v>1</v>
      </c>
      <c r="AO52" s="1355"/>
      <c r="AP52" s="1356" t="s">
        <v>66</v>
      </c>
      <c r="AQ52" s="180"/>
      <c r="AR52" s="268">
        <v>1</v>
      </c>
      <c r="AS52" s="119" t="s">
        <v>22</v>
      </c>
      <c r="AT52" s="306"/>
      <c r="AU52" s="728"/>
      <c r="AV52" s="306"/>
      <c r="AW52" s="728"/>
      <c r="AX52" s="943"/>
      <c r="AY52" s="297" t="s">
        <v>66</v>
      </c>
      <c r="AZ52" s="943"/>
      <c r="BA52" s="297" t="s">
        <v>66</v>
      </c>
      <c r="BB52" s="766"/>
      <c r="BC52" s="1298" t="s">
        <v>505</v>
      </c>
      <c r="BE52" s="69"/>
      <c r="BF52" s="69" t="str">
        <f t="shared" si="3"/>
        <v/>
      </c>
      <c r="BG52" s="69"/>
      <c r="BH52" s="69"/>
      <c r="BI52" s="11">
        <v>11</v>
      </c>
    </row>
    <row r="53" spans="1:61" ht="11.45" customHeight="1">
      <c r="A53" s="769"/>
      <c r="B53" s="769"/>
      <c r="C53" s="769"/>
      <c r="D53" s="769"/>
      <c r="E53" s="1276"/>
      <c r="F53" s="1276"/>
      <c r="G53" s="1276"/>
      <c r="H53" s="1276"/>
      <c r="I53" s="1278"/>
      <c r="J53" s="1278"/>
      <c r="K53" s="1277"/>
      <c r="L53" s="770"/>
      <c r="P53" s="1279"/>
      <c r="Q53" s="1279"/>
      <c r="R53" s="209"/>
      <c r="S53" s="1333"/>
      <c r="T53" s="1353"/>
      <c r="U53" s="171"/>
      <c r="V53" s="789"/>
      <c r="W53" s="819"/>
      <c r="X53" s="789"/>
      <c r="Y53" s="819"/>
      <c r="Z53" s="789"/>
      <c r="AA53" s="789"/>
      <c r="AB53" s="789"/>
      <c r="AC53" s="789"/>
      <c r="AD53" s="1221"/>
      <c r="AE53" s="1328"/>
      <c r="AF53" s="1233"/>
      <c r="AG53" s="1351"/>
      <c r="AH53" s="1158"/>
      <c r="AI53" s="1328"/>
      <c r="AJ53" s="1233"/>
      <c r="AK53" s="1342"/>
      <c r="AL53" s="1158"/>
      <c r="AM53" s="1213"/>
      <c r="AN53" s="1233"/>
      <c r="AO53" s="1355"/>
      <c r="AP53" s="1357"/>
      <c r="AQ53" s="184"/>
      <c r="AR53" s="52"/>
      <c r="AS53" s="52" t="s">
        <v>506</v>
      </c>
      <c r="AT53" s="789"/>
      <c r="AU53" s="819"/>
      <c r="AV53" s="789"/>
      <c r="AW53" s="819"/>
      <c r="AX53" s="789"/>
      <c r="AY53" s="789"/>
      <c r="AZ53" s="789"/>
      <c r="BA53" s="789"/>
      <c r="BB53" s="793"/>
      <c r="BC53" s="1299"/>
      <c r="BE53" s="69"/>
      <c r="BF53" s="69"/>
      <c r="BG53" s="69"/>
      <c r="BH53" s="69"/>
      <c r="BI53" s="11">
        <v>11</v>
      </c>
    </row>
    <row r="54" spans="1:61" ht="11.45" customHeight="1">
      <c r="A54" s="769" t="s">
        <v>250</v>
      </c>
      <c r="B54" s="769"/>
      <c r="C54" s="769"/>
      <c r="D54" s="769"/>
      <c r="E54" s="1276"/>
      <c r="F54" s="1276"/>
      <c r="G54" s="1276"/>
      <c r="H54" s="1276"/>
      <c r="I54" s="1278"/>
      <c r="J54" s="1278"/>
      <c r="K54" s="1277"/>
      <c r="L54" s="770"/>
      <c r="P54" s="1279"/>
      <c r="Q54" s="1279"/>
      <c r="R54" s="209"/>
      <c r="S54" s="1333"/>
      <c r="T54" s="1353"/>
      <c r="U54" s="171"/>
      <c r="V54" s="789"/>
      <c r="W54" s="819"/>
      <c r="X54" s="789"/>
      <c r="Y54" s="819"/>
      <c r="Z54" s="789"/>
      <c r="AA54" s="789"/>
      <c r="AB54" s="789"/>
      <c r="AC54" s="789"/>
      <c r="AD54" s="1221"/>
      <c r="AE54" s="1328"/>
      <c r="AF54" s="1233"/>
      <c r="AG54" s="1351"/>
      <c r="AH54" s="1158"/>
      <c r="AI54" s="1328"/>
      <c r="AJ54" s="1233"/>
      <c r="AK54" s="1342"/>
      <c r="AL54" s="1158"/>
      <c r="AM54" s="184"/>
      <c r="AN54" s="823"/>
      <c r="AO54" s="823" t="s">
        <v>507</v>
      </c>
      <c r="AP54" s="52"/>
      <c r="AQ54" s="52"/>
      <c r="AR54" s="52"/>
      <c r="AS54" s="789"/>
      <c r="AT54" s="789"/>
      <c r="AU54" s="819"/>
      <c r="AV54" s="789"/>
      <c r="AW54" s="819"/>
      <c r="AX54" s="789"/>
      <c r="AY54" s="789"/>
      <c r="AZ54" s="789"/>
      <c r="BA54" s="789"/>
      <c r="BB54" s="793"/>
      <c r="BC54" s="1299"/>
      <c r="BE54" s="69"/>
      <c r="BF54" s="69"/>
      <c r="BG54" s="69"/>
      <c r="BH54" s="69"/>
      <c r="BI54" s="11">
        <v>11</v>
      </c>
    </row>
    <row r="55" spans="1:61" ht="11.45" customHeight="1">
      <c r="A55" s="769" t="s">
        <v>250</v>
      </c>
      <c r="B55" s="769"/>
      <c r="C55" s="769"/>
      <c r="D55" s="769"/>
      <c r="E55" s="1276"/>
      <c r="F55" s="1276"/>
      <c r="G55" s="1276"/>
      <c r="H55" s="1276"/>
      <c r="I55" s="1278"/>
      <c r="J55" s="1278"/>
      <c r="K55" s="1277"/>
      <c r="L55" s="770"/>
      <c r="P55" s="1279"/>
      <c r="Q55" s="1279"/>
      <c r="R55" s="209"/>
      <c r="S55" s="1333"/>
      <c r="T55" s="1353"/>
      <c r="U55" s="171"/>
      <c r="V55" s="789"/>
      <c r="W55" s="819"/>
      <c r="X55" s="789"/>
      <c r="Y55" s="819"/>
      <c r="Z55" s="789"/>
      <c r="AA55" s="789"/>
      <c r="AB55" s="789"/>
      <c r="AC55" s="789"/>
      <c r="AD55" s="1221"/>
      <c r="AE55" s="1328"/>
      <c r="AF55" s="1233"/>
      <c r="AG55" s="1351"/>
      <c r="AH55" s="1158"/>
      <c r="AI55" s="169"/>
      <c r="AJ55" s="110"/>
      <c r="AK55" s="182" t="s">
        <v>508</v>
      </c>
      <c r="AL55" s="789"/>
      <c r="AM55" s="789"/>
      <c r="AN55" s="789"/>
      <c r="AO55" s="789"/>
      <c r="AP55" s="789"/>
      <c r="AQ55" s="789"/>
      <c r="AR55" s="789"/>
      <c r="AS55" s="789"/>
      <c r="AT55" s="789"/>
      <c r="AU55" s="819"/>
      <c r="AV55" s="789"/>
      <c r="AW55" s="819"/>
      <c r="AX55" s="789"/>
      <c r="AY55" s="789"/>
      <c r="AZ55" s="789"/>
      <c r="BA55" s="789"/>
      <c r="BB55" s="793"/>
      <c r="BC55" s="1299"/>
      <c r="BE55" s="69"/>
      <c r="BF55" s="69"/>
      <c r="BG55" s="69"/>
      <c r="BH55" s="69"/>
      <c r="BI55" s="11">
        <v>11</v>
      </c>
    </row>
    <row r="56" spans="1:61" ht="11.45" customHeight="1">
      <c r="A56" s="769" t="s">
        <v>250</v>
      </c>
      <c r="B56" s="769" t="s">
        <v>251</v>
      </c>
      <c r="C56" s="769" t="s">
        <v>252</v>
      </c>
      <c r="D56" s="769" t="s">
        <v>519</v>
      </c>
      <c r="E56" s="1276"/>
      <c r="F56" s="1276"/>
      <c r="G56" s="1276"/>
      <c r="H56" s="1276"/>
      <c r="I56" s="1278"/>
      <c r="J56" s="1278"/>
      <c r="K56" s="1277"/>
      <c r="L56" s="770"/>
      <c r="P56" s="1279"/>
      <c r="Q56" s="1279"/>
      <c r="R56" s="209"/>
      <c r="S56" s="1334"/>
      <c r="T56" s="1354"/>
      <c r="U56" s="171"/>
      <c r="V56" s="789"/>
      <c r="W56" s="790" t="str">
        <f>Z52&amp;"-"&amp;AB52</f>
        <v>-</v>
      </c>
      <c r="X56" s="789"/>
      <c r="Y56" s="790" t="str">
        <f>AB52&amp;"-"&amp;AD52</f>
        <v>-да</v>
      </c>
      <c r="Z56" s="789"/>
      <c r="AA56" s="789"/>
      <c r="AB56" s="789"/>
      <c r="AC56" s="789"/>
      <c r="AD56" s="1163"/>
      <c r="AE56" s="181"/>
      <c r="AF56" s="183"/>
      <c r="AG56" s="52" t="s">
        <v>509</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299"/>
      <c r="BE56" s="69"/>
      <c r="BF56" s="69" t="str">
        <f t="shared" ref="BF56:BF63" si="4">IF(T56="","",T56)</f>
        <v/>
      </c>
      <c r="BG56" s="69"/>
      <c r="BH56" s="69"/>
      <c r="BI56" s="11">
        <v>11</v>
      </c>
    </row>
    <row r="57" spans="1:61" ht="11.45" customHeight="1">
      <c r="A57" s="769" t="s">
        <v>250</v>
      </c>
      <c r="B57" s="769" t="s">
        <v>251</v>
      </c>
      <c r="C57" s="769" t="s">
        <v>252</v>
      </c>
      <c r="D57" s="769" t="s">
        <v>519</v>
      </c>
      <c r="E57" s="1276"/>
      <c r="F57" s="1276"/>
      <c r="G57" s="1276"/>
      <c r="H57" s="1276"/>
      <c r="I57" s="1278"/>
      <c r="J57" s="1277"/>
      <c r="K57" s="769"/>
      <c r="L57" s="770"/>
      <c r="P57" s="1279"/>
      <c r="Q57" s="1279"/>
      <c r="R57" s="208"/>
      <c r="S57" s="742"/>
      <c r="T57" s="166" t="s">
        <v>472</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0"/>
      <c r="BE57" s="69"/>
      <c r="BF57" s="69" t="str">
        <f t="shared" si="4"/>
        <v>Добавить строку</v>
      </c>
      <c r="BG57" s="69"/>
      <c r="BH57" s="69"/>
      <c r="BI57" s="11">
        <v>11</v>
      </c>
    </row>
    <row r="58" spans="1:61" s="68" customFormat="1" ht="0" hidden="1" customHeight="1">
      <c r="A58" s="145" t="s">
        <v>250</v>
      </c>
      <c r="B58" s="145" t="s">
        <v>251</v>
      </c>
      <c r="C58" s="145" t="s">
        <v>252</v>
      </c>
      <c r="D58" s="145" t="s">
        <v>519</v>
      </c>
      <c r="E58" s="1276"/>
      <c r="F58" s="1276"/>
      <c r="G58" s="1276"/>
      <c r="H58" s="1276"/>
      <c r="I58" s="1277"/>
      <c r="J58" s="145"/>
      <c r="K58" s="145"/>
      <c r="L58" s="346"/>
      <c r="M58" s="290"/>
      <c r="N58" s="290"/>
      <c r="O58" s="290"/>
      <c r="P58" s="1279"/>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250</v>
      </c>
      <c r="B59" s="145" t="s">
        <v>251</v>
      </c>
      <c r="C59" s="145" t="s">
        <v>252</v>
      </c>
      <c r="D59" s="145" t="s">
        <v>519</v>
      </c>
      <c r="E59" s="1276"/>
      <c r="F59" s="1276"/>
      <c r="G59" s="1276"/>
      <c r="H59" s="1275"/>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250</v>
      </c>
      <c r="B60" s="145" t="s">
        <v>251</v>
      </c>
      <c r="C60" s="145" t="s">
        <v>252</v>
      </c>
      <c r="D60" s="145"/>
      <c r="E60" s="1276"/>
      <c r="F60" s="1276"/>
      <c r="G60" s="1275"/>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250</v>
      </c>
      <c r="B61" s="145" t="s">
        <v>251</v>
      </c>
      <c r="C61" s="145"/>
      <c r="D61" s="145"/>
      <c r="E61" s="1276"/>
      <c r="F61" s="1275"/>
      <c r="G61" s="145"/>
      <c r="H61" s="145"/>
      <c r="I61" s="145"/>
      <c r="J61" s="145"/>
      <c r="K61" s="145"/>
      <c r="L61" s="346"/>
      <c r="M61" s="759"/>
      <c r="N61" s="759"/>
      <c r="P61" s="104"/>
      <c r="Q61" s="755"/>
      <c r="R61" s="104"/>
      <c r="S61" s="760"/>
      <c r="T61" s="762" t="s">
        <v>419</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250</v>
      </c>
      <c r="B62" s="145"/>
      <c r="C62" s="145"/>
      <c r="D62" s="145"/>
      <c r="E62" s="1275"/>
      <c r="F62" s="145"/>
      <c r="G62" s="145"/>
      <c r="H62" s="145"/>
      <c r="I62" s="145"/>
      <c r="J62" s="145"/>
      <c r="K62" s="145"/>
      <c r="L62" s="346"/>
      <c r="M62" s="759"/>
      <c r="N62" s="759"/>
      <c r="P62" s="104"/>
      <c r="Q62" s="755"/>
      <c r="R62" s="104"/>
      <c r="S62" s="760"/>
      <c r="T62" s="762" t="s">
        <v>420</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452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6A052-7957-8852-9BE9-8EE149EB508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402</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520</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521</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487</v>
      </c>
      <c r="U5" s="171"/>
      <c r="V5" s="1343"/>
      <c r="W5" s="1344"/>
      <c r="X5" s="1344"/>
      <c r="Y5" s="1344"/>
      <c r="Z5" s="1344"/>
      <c r="AA5" s="1344"/>
      <c r="AB5" s="1345"/>
      <c r="AC5" s="1346"/>
      <c r="AD5" s="1347"/>
      <c r="AE5" s="1347"/>
      <c r="AF5" s="1347"/>
      <c r="AG5" s="1347"/>
      <c r="AH5" s="1347"/>
      <c r="AI5" s="1347"/>
      <c r="AJ5" s="1348"/>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410</v>
      </c>
      <c r="P6" s="1279"/>
      <c r="Q6" s="1279">
        <v>1</v>
      </c>
      <c r="R6" s="209"/>
      <c r="S6" s="709" t="e">
        <f>$J6</f>
        <v>#N/A</v>
      </c>
      <c r="T6" s="165" t="s">
        <v>411</v>
      </c>
      <c r="U6" s="171"/>
      <c r="V6" s="1263"/>
      <c r="W6" s="1264"/>
      <c r="X6" s="1264"/>
      <c r="Y6" s="1264"/>
      <c r="Z6" s="1264"/>
      <c r="AA6" s="1264"/>
      <c r="AB6" s="1265"/>
      <c r="AC6" s="1263"/>
      <c r="AD6" s="1264"/>
      <c r="AE6" s="1264"/>
      <c r="AF6" s="1264"/>
      <c r="AG6" s="1264"/>
      <c r="AH6" s="1264"/>
      <c r="AI6" s="1264"/>
      <c r="AJ6" s="1265"/>
      <c r="AK6" s="753" t="s">
        <v>489</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8" t="s">
        <v>66</v>
      </c>
      <c r="AA7" s="1280"/>
      <c r="AB7" s="1158" t="s">
        <v>66</v>
      </c>
      <c r="AC7" s="306"/>
      <c r="AD7" s="306"/>
      <c r="AE7" s="728"/>
      <c r="AF7" s="1280"/>
      <c r="AG7" s="1158" t="s">
        <v>66</v>
      </c>
      <c r="AH7" s="1282"/>
      <c r="AI7" s="1158"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8"/>
      <c r="AA8" s="1281"/>
      <c r="AB8" s="1158"/>
      <c r="AC8" s="191"/>
      <c r="AD8" s="191"/>
      <c r="AE8" s="192" t="str">
        <f>AF7&amp;"-"&amp;AH7</f>
        <v>-</v>
      </c>
      <c r="AF8" s="1281"/>
      <c r="AG8" s="1158"/>
      <c r="AH8" s="1283"/>
      <c r="AI8" s="1158"/>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420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421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422</v>
      </c>
      <c r="P20" s="506"/>
      <c r="Q20" s="815"/>
      <c r="R20" s="815"/>
      <c r="S20" s="426"/>
      <c r="T20" s="63" t="s">
        <v>423</v>
      </c>
      <c r="Z20" s="82" t="s">
        <v>424</v>
      </c>
      <c r="AB20" s="82" t="s">
        <v>425</v>
      </c>
      <c r="AC20" s="63" t="s">
        <v>423</v>
      </c>
      <c r="AG20" s="82" t="s">
        <v>426</v>
      </c>
      <c r="AI20" s="82" t="s">
        <v>425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427</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428</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429</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430</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431</v>
      </c>
      <c r="AC34" s="11"/>
      <c r="AD34" s="11"/>
      <c r="AE34" s="11"/>
      <c r="AF34" s="11"/>
      <c r="AG34" s="11"/>
      <c r="AH34" s="11"/>
      <c r="AI34" s="68" t="s">
        <v>431</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65" customHeight="1">
      <c r="Q37" s="28"/>
      <c r="R37" s="28"/>
      <c r="S37" s="1288" t="s">
        <v>88</v>
      </c>
      <c r="T37" s="1237" t="s">
        <v>432</v>
      </c>
      <c r="U37" s="172"/>
      <c r="V37" s="1289" t="s">
        <v>433</v>
      </c>
      <c r="W37" s="1290"/>
      <c r="X37" s="1290"/>
      <c r="Y37" s="1290"/>
      <c r="Z37" s="1290"/>
      <c r="AA37" s="1291"/>
      <c r="AB37" s="1292" t="s">
        <v>434</v>
      </c>
      <c r="AC37" s="1289" t="s">
        <v>433</v>
      </c>
      <c r="AD37" s="1290"/>
      <c r="AE37" s="1290"/>
      <c r="AF37" s="1290"/>
      <c r="AG37" s="1290"/>
      <c r="AH37" s="1291"/>
      <c r="AI37" s="1292" t="s">
        <v>435</v>
      </c>
      <c r="AJ37" s="1295" t="s">
        <v>436</v>
      </c>
      <c r="AK37" s="1148"/>
      <c r="AQ37" s="11">
        <v>14</v>
      </c>
    </row>
    <row r="38" spans="1:43" ht="35.65" customHeight="1">
      <c r="Q38" s="28"/>
      <c r="R38" s="28"/>
      <c r="S38" s="1288"/>
      <c r="T38" s="1237"/>
      <c r="U38" s="607"/>
      <c r="V38" s="340" t="s">
        <v>493</v>
      </c>
      <c r="W38" s="1129" t="s">
        <v>439</v>
      </c>
      <c r="X38" s="1128"/>
      <c r="Y38" s="1129" t="s">
        <v>440</v>
      </c>
      <c r="Z38" s="1135"/>
      <c r="AA38" s="1128"/>
      <c r="AB38" s="1293"/>
      <c r="AC38" s="340" t="s">
        <v>493</v>
      </c>
      <c r="AD38" s="1129" t="s">
        <v>439</v>
      </c>
      <c r="AE38" s="1128"/>
      <c r="AF38" s="1129" t="s">
        <v>440</v>
      </c>
      <c r="AG38" s="1135"/>
      <c r="AH38" s="1128"/>
      <c r="AI38" s="1293"/>
      <c r="AJ38" s="1296"/>
      <c r="AK38" s="1148"/>
      <c r="AQ38" s="11">
        <v>34</v>
      </c>
    </row>
    <row r="39" spans="1:43" ht="90.4" customHeight="1">
      <c r="A39" s="82"/>
      <c r="B39" s="82" t="s">
        <v>141</v>
      </c>
      <c r="C39" s="82" t="s">
        <v>142</v>
      </c>
      <c r="D39" s="82" t="s">
        <v>143</v>
      </c>
      <c r="E39" s="770" t="s">
        <v>441</v>
      </c>
      <c r="F39" s="770" t="s">
        <v>442</v>
      </c>
      <c r="G39" s="770" t="s">
        <v>443</v>
      </c>
      <c r="H39" s="770"/>
      <c r="I39" s="770" t="s">
        <v>494</v>
      </c>
      <c r="J39" s="770" t="s">
        <v>446</v>
      </c>
      <c r="K39" s="770" t="s">
        <v>495</v>
      </c>
      <c r="L39" s="770" t="s">
        <v>422</v>
      </c>
      <c r="Q39" s="28"/>
      <c r="R39" s="28"/>
      <c r="S39" s="1288"/>
      <c r="T39" s="1237"/>
      <c r="U39" s="173"/>
      <c r="V39" s="340" t="s">
        <v>522</v>
      </c>
      <c r="W39" s="39" t="s">
        <v>523</v>
      </c>
      <c r="X39" s="39" t="s">
        <v>498</v>
      </c>
      <c r="Y39" s="39" t="s">
        <v>450</v>
      </c>
      <c r="Z39" s="1242" t="s">
        <v>451</v>
      </c>
      <c r="AA39" s="1255"/>
      <c r="AB39" s="1294"/>
      <c r="AC39" s="340" t="s">
        <v>522</v>
      </c>
      <c r="AD39" s="39" t="s">
        <v>523</v>
      </c>
      <c r="AE39" s="39" t="s">
        <v>498</v>
      </c>
      <c r="AF39" s="39" t="s">
        <v>450</v>
      </c>
      <c r="AG39" s="1242" t="s">
        <v>451</v>
      </c>
      <c r="AH39" s="1255"/>
      <c r="AI39" s="1294"/>
      <c r="AJ39" s="1297"/>
      <c r="AK39" s="1148"/>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115</v>
      </c>
      <c r="T40" s="726" t="s">
        <v>103</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270</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129</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270</v>
      </c>
      <c r="B42" s="769" t="s">
        <v>271</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402</v>
      </c>
      <c r="AM42" s="69"/>
      <c r="AN42" s="69" t="str">
        <f t="shared" si="1"/>
        <v>Территория действия тарифа</v>
      </c>
      <c r="AO42" s="69"/>
      <c r="AP42" s="69"/>
      <c r="AQ42" s="11">
        <v>23</v>
      </c>
    </row>
    <row r="43" spans="1:43" ht="24" customHeight="1">
      <c r="A43" s="769" t="s">
        <v>270</v>
      </c>
      <c r="B43" s="769" t="s">
        <v>271</v>
      </c>
      <c r="C43" s="769" t="s">
        <v>272</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520</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521</v>
      </c>
      <c r="AM43" s="69"/>
      <c r="AN43" s="69" t="str">
        <f t="shared" si="1"/>
        <v>Наименование централизованной системы водоотведения</v>
      </c>
      <c r="AO43" s="69"/>
      <c r="AP43" s="69"/>
      <c r="AQ43" s="11">
        <v>23</v>
      </c>
    </row>
    <row r="44" spans="1:43" ht="24" customHeight="1">
      <c r="A44" s="769" t="s">
        <v>270</v>
      </c>
      <c r="B44" s="769" t="s">
        <v>271</v>
      </c>
      <c r="C44" s="769" t="s">
        <v>272</v>
      </c>
      <c r="D44" s="769" t="s">
        <v>524</v>
      </c>
      <c r="E44" s="1276"/>
      <c r="F44" s="1276"/>
      <c r="G44" s="1276"/>
      <c r="H44" s="1276"/>
      <c r="I44" s="1277" t="str">
        <f>S43&amp;".1"</f>
        <v>...1</v>
      </c>
      <c r="J44" s="769"/>
      <c r="K44" s="769"/>
      <c r="L44" s="770"/>
      <c r="P44" s="1279">
        <v>1</v>
      </c>
      <c r="Q44" s="122"/>
      <c r="R44" s="208"/>
      <c r="S44" s="709" t="str">
        <f>$I44</f>
        <v>...1</v>
      </c>
      <c r="T44" s="164" t="s">
        <v>487</v>
      </c>
      <c r="U44" s="171"/>
      <c r="V44" s="1343"/>
      <c r="W44" s="1344"/>
      <c r="X44" s="1344"/>
      <c r="Y44" s="1344"/>
      <c r="Z44" s="1344"/>
      <c r="AA44" s="1344"/>
      <c r="AB44" s="1345"/>
      <c r="AC44" s="1346"/>
      <c r="AD44" s="1347"/>
      <c r="AE44" s="1347"/>
      <c r="AF44" s="1347"/>
      <c r="AG44" s="1347"/>
      <c r="AH44" s="1347"/>
      <c r="AI44" s="1347"/>
      <c r="AJ44" s="1348"/>
      <c r="AK44" s="729" t="s">
        <v>488</v>
      </c>
      <c r="AM44" s="69"/>
      <c r="AN44" s="69" t="str">
        <f t="shared" si="1"/>
        <v>Наименование признака дифференциации</v>
      </c>
      <c r="AO44" s="69"/>
      <c r="AP44" s="69"/>
      <c r="AQ44" s="11">
        <v>23</v>
      </c>
    </row>
    <row r="45" spans="1:43" ht="24" customHeight="1">
      <c r="A45" s="769" t="s">
        <v>270</v>
      </c>
      <c r="B45" s="769" t="s">
        <v>271</v>
      </c>
      <c r="C45" s="769" t="s">
        <v>272</v>
      </c>
      <c r="D45" s="769" t="s">
        <v>524</v>
      </c>
      <c r="E45" s="1276"/>
      <c r="F45" s="1276"/>
      <c r="G45" s="1276"/>
      <c r="H45" s="1276"/>
      <c r="I45" s="1278"/>
      <c r="J45" s="1277" t="str">
        <f>I44&amp;".1"</f>
        <v>...1.1</v>
      </c>
      <c r="K45" s="769"/>
      <c r="L45" s="770" t="s">
        <v>410</v>
      </c>
      <c r="P45" s="1279"/>
      <c r="Q45" s="1279">
        <v>1</v>
      </c>
      <c r="R45" s="209"/>
      <c r="S45" s="709" t="str">
        <f>$J45</f>
        <v>...1.1</v>
      </c>
      <c r="T45" s="165" t="s">
        <v>411</v>
      </c>
      <c r="U45" s="171"/>
      <c r="V45" s="1263"/>
      <c r="W45" s="1264"/>
      <c r="X45" s="1264"/>
      <c r="Y45" s="1264"/>
      <c r="Z45" s="1264"/>
      <c r="AA45" s="1264"/>
      <c r="AB45" s="1265"/>
      <c r="AC45" s="1263"/>
      <c r="AD45" s="1264"/>
      <c r="AE45" s="1264"/>
      <c r="AF45" s="1264"/>
      <c r="AG45" s="1264"/>
      <c r="AH45" s="1264"/>
      <c r="AI45" s="1264"/>
      <c r="AJ45" s="1265"/>
      <c r="AK45" s="753" t="s">
        <v>489</v>
      </c>
      <c r="AM45" s="69"/>
      <c r="AN45" s="69" t="str">
        <f t="shared" si="1"/>
        <v>Группа потребителей</v>
      </c>
      <c r="AO45" s="69"/>
      <c r="AP45" s="69"/>
      <c r="AQ45" s="11">
        <v>23</v>
      </c>
    </row>
    <row r="46" spans="1:43" ht="24" customHeight="1">
      <c r="A46" s="769" t="s">
        <v>270</v>
      </c>
      <c r="B46" s="769" t="s">
        <v>271</v>
      </c>
      <c r="C46" s="769" t="s">
        <v>272</v>
      </c>
      <c r="D46" s="769" t="s">
        <v>524</v>
      </c>
      <c r="E46" s="1276"/>
      <c r="F46" s="1276"/>
      <c r="G46" s="1276"/>
      <c r="H46" s="1276"/>
      <c r="I46" s="1278"/>
      <c r="J46" s="1278"/>
      <c r="K46" s="1277" t="str">
        <f>J45&amp;".1"</f>
        <v>...1.1.1</v>
      </c>
      <c r="L46" s="770"/>
      <c r="P46" s="1279"/>
      <c r="Q46" s="1279"/>
      <c r="R46" s="209">
        <v>1</v>
      </c>
      <c r="S46" s="709" t="str">
        <f>$K46</f>
        <v>...1.1.1</v>
      </c>
      <c r="T46" s="812"/>
      <c r="U46" s="171"/>
      <c r="V46" s="368"/>
      <c r="W46" s="368"/>
      <c r="X46" s="768"/>
      <c r="Y46" s="1273"/>
      <c r="Z46" s="1272" t="s">
        <v>66</v>
      </c>
      <c r="AA46" s="1273"/>
      <c r="AB46" s="1272" t="s">
        <v>66</v>
      </c>
      <c r="AC46" s="306"/>
      <c r="AD46" s="306"/>
      <c r="AE46" s="728"/>
      <c r="AF46" s="1280"/>
      <c r="AG46" s="1158" t="s">
        <v>66</v>
      </c>
      <c r="AH46" s="1282"/>
      <c r="AI46" s="1158" t="s">
        <v>19</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270</v>
      </c>
      <c r="B47" s="769" t="s">
        <v>271</v>
      </c>
      <c r="C47" s="769" t="s">
        <v>272</v>
      </c>
      <c r="D47" s="769" t="s">
        <v>524</v>
      </c>
      <c r="E47" s="1276"/>
      <c r="F47" s="1276"/>
      <c r="G47" s="1276"/>
      <c r="H47" s="1276"/>
      <c r="I47" s="1278"/>
      <c r="J47" s="1278"/>
      <c r="K47" s="1277"/>
      <c r="L47" s="770"/>
      <c r="P47" s="1279"/>
      <c r="Q47" s="1279"/>
      <c r="R47" s="209"/>
      <c r="S47" s="65"/>
      <c r="T47" s="171"/>
      <c r="U47" s="171"/>
      <c r="V47" s="368"/>
      <c r="W47" s="368"/>
      <c r="X47" s="192" t="str">
        <f>Y46&amp;"-"&amp;AA46</f>
        <v>-</v>
      </c>
      <c r="Y47" s="1272"/>
      <c r="Z47" s="1272"/>
      <c r="AA47" s="1272"/>
      <c r="AB47" s="1272"/>
      <c r="AC47" s="191"/>
      <c r="AD47" s="191"/>
      <c r="AE47" s="192" t="str">
        <f>AF46&amp;"-"&amp;AH46</f>
        <v>-</v>
      </c>
      <c r="AF47" s="1281"/>
      <c r="AG47" s="1158"/>
      <c r="AH47" s="1283"/>
      <c r="AI47" s="1158"/>
      <c r="AJ47" s="388"/>
      <c r="AK47" s="1349"/>
      <c r="AM47" s="69"/>
      <c r="AN47" s="69" t="str">
        <f t="shared" si="1"/>
        <v/>
      </c>
      <c r="AO47" s="69"/>
      <c r="AP47" s="69"/>
      <c r="AQ47" s="11">
        <v>0</v>
      </c>
    </row>
    <row r="48" spans="1:43" ht="21" customHeight="1">
      <c r="A48" s="769" t="s">
        <v>270</v>
      </c>
      <c r="B48" s="769" t="s">
        <v>271</v>
      </c>
      <c r="C48" s="769" t="s">
        <v>272</v>
      </c>
      <c r="D48" s="769" t="s">
        <v>524</v>
      </c>
      <c r="E48" s="1276"/>
      <c r="F48" s="1276"/>
      <c r="G48" s="1276"/>
      <c r="H48" s="1276"/>
      <c r="I48" s="1278"/>
      <c r="J48" s="1277"/>
      <c r="K48" s="769"/>
      <c r="L48" s="770"/>
      <c r="P48" s="1279"/>
      <c r="Q48" s="1279"/>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270</v>
      </c>
      <c r="B49" s="769" t="s">
        <v>271</v>
      </c>
      <c r="C49" s="769" t="s">
        <v>272</v>
      </c>
      <c r="D49" s="769" t="s">
        <v>524</v>
      </c>
      <c r="E49" s="1276"/>
      <c r="F49" s="1276"/>
      <c r="G49" s="1276"/>
      <c r="H49" s="1276"/>
      <c r="I49" s="1277"/>
      <c r="J49" s="769"/>
      <c r="K49" s="769"/>
      <c r="L49" s="770"/>
      <c r="P49" s="127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270</v>
      </c>
      <c r="B50" s="769" t="s">
        <v>271</v>
      </c>
      <c r="C50" s="769" t="s">
        <v>272</v>
      </c>
      <c r="D50" s="769" t="s">
        <v>524</v>
      </c>
      <c r="E50" s="1276"/>
      <c r="F50" s="1276"/>
      <c r="G50" s="1276"/>
      <c r="H50" s="1275"/>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270</v>
      </c>
      <c r="B51" s="145" t="s">
        <v>271</v>
      </c>
      <c r="C51" s="145"/>
      <c r="D51" s="145"/>
      <c r="E51" s="1276"/>
      <c r="F51" s="1275"/>
      <c r="G51" s="145"/>
      <c r="H51" s="145"/>
      <c r="I51" s="145"/>
      <c r="J51" s="145"/>
      <c r="K51" s="145"/>
      <c r="L51" s="346"/>
      <c r="M51" s="759"/>
      <c r="N51" s="759"/>
      <c r="P51" s="104"/>
      <c r="Q51" s="755"/>
      <c r="R51" s="104"/>
      <c r="S51" s="760"/>
      <c r="T51" s="762" t="s">
        <v>419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270</v>
      </c>
      <c r="B52" s="145"/>
      <c r="C52" s="145"/>
      <c r="D52" s="145"/>
      <c r="E52" s="1275"/>
      <c r="F52" s="145"/>
      <c r="G52" s="145"/>
      <c r="H52" s="145"/>
      <c r="I52" s="145"/>
      <c r="J52" s="145"/>
      <c r="K52" s="145"/>
      <c r="L52" s="346"/>
      <c r="M52" s="759"/>
      <c r="N52" s="759"/>
      <c r="P52" s="104"/>
      <c r="Q52" s="755"/>
      <c r="R52" s="104"/>
      <c r="S52" s="760"/>
      <c r="T52" s="762" t="s">
        <v>420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E1763-33C8-0282-F719-600DFB59D87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402</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520</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521</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487</v>
      </c>
      <c r="U5" s="171"/>
      <c r="V5" s="1343"/>
      <c r="W5" s="1344"/>
      <c r="X5" s="1344"/>
      <c r="Y5" s="1344"/>
      <c r="Z5" s="1344"/>
      <c r="AA5" s="1344"/>
      <c r="AB5" s="1345"/>
      <c r="AC5" s="1346"/>
      <c r="AD5" s="1347"/>
      <c r="AE5" s="1347"/>
      <c r="AF5" s="1347"/>
      <c r="AG5" s="1347"/>
      <c r="AH5" s="1347"/>
      <c r="AI5" s="1347"/>
      <c r="AJ5" s="1348"/>
      <c r="AK5" s="729" t="s">
        <v>488</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410</v>
      </c>
      <c r="P6" s="1279"/>
      <c r="Q6" s="1279">
        <v>1</v>
      </c>
      <c r="R6" s="209"/>
      <c r="S6" s="709" t="e">
        <f>$J6</f>
        <v>#N/A</v>
      </c>
      <c r="T6" s="165" t="s">
        <v>411</v>
      </c>
      <c r="U6" s="171"/>
      <c r="V6" s="1263"/>
      <c r="W6" s="1264"/>
      <c r="X6" s="1264"/>
      <c r="Y6" s="1264"/>
      <c r="Z6" s="1264"/>
      <c r="AA6" s="1264"/>
      <c r="AB6" s="1265"/>
      <c r="AC6" s="1263"/>
      <c r="AD6" s="1264"/>
      <c r="AE6" s="1264"/>
      <c r="AF6" s="1264"/>
      <c r="AG6" s="1264"/>
      <c r="AH6" s="1264"/>
      <c r="AI6" s="1264"/>
      <c r="AJ6" s="1265"/>
      <c r="AK6" s="753" t="s">
        <v>489</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8" t="s">
        <v>66</v>
      </c>
      <c r="AA7" s="1280"/>
      <c r="AB7" s="1158" t="s">
        <v>66</v>
      </c>
      <c r="AC7" s="306"/>
      <c r="AD7" s="306"/>
      <c r="AE7" s="728"/>
      <c r="AF7" s="1280"/>
      <c r="AG7" s="1158" t="s">
        <v>66</v>
      </c>
      <c r="AH7" s="1282"/>
      <c r="AI7" s="1158"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8"/>
      <c r="AA8" s="1281"/>
      <c r="AB8" s="1158"/>
      <c r="AC8" s="191"/>
      <c r="AD8" s="191"/>
      <c r="AE8" s="192" t="str">
        <f>AF7&amp;"-"&amp;AH7</f>
        <v>-</v>
      </c>
      <c r="AF8" s="1281"/>
      <c r="AG8" s="1158"/>
      <c r="AH8" s="1283"/>
      <c r="AI8" s="1158"/>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490</v>
      </c>
      <c r="U9" s="213"/>
      <c r="V9" s="213"/>
      <c r="W9" s="213"/>
      <c r="X9" s="213"/>
      <c r="Y9" s="213"/>
      <c r="Z9" s="213"/>
      <c r="AA9" s="213"/>
      <c r="AB9" s="213"/>
      <c r="AC9" s="213"/>
      <c r="AD9" s="213"/>
      <c r="AE9" s="213"/>
      <c r="AF9" s="213"/>
      <c r="AG9" s="213"/>
      <c r="AH9" s="213"/>
      <c r="AI9" s="213"/>
      <c r="AJ9" s="213"/>
      <c r="AK9" s="729" t="s">
        <v>491</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492</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420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421</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422</v>
      </c>
      <c r="P20" s="506"/>
      <c r="Q20" s="815"/>
      <c r="R20" s="815"/>
      <c r="S20" s="426"/>
      <c r="T20" s="63" t="s">
        <v>423</v>
      </c>
      <c r="Z20" s="82" t="s">
        <v>424</v>
      </c>
      <c r="AB20" s="82" t="s">
        <v>425</v>
      </c>
      <c r="AC20" s="63" t="s">
        <v>423</v>
      </c>
      <c r="AG20" s="82" t="s">
        <v>426</v>
      </c>
      <c r="AI20" s="82" t="s">
        <v>425</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427</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428</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429</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430</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431</v>
      </c>
      <c r="AC34" s="11"/>
      <c r="AD34" s="11"/>
      <c r="AE34" s="11"/>
      <c r="AF34" s="11"/>
      <c r="AG34" s="11"/>
      <c r="AH34" s="11"/>
      <c r="AI34" s="68" t="s">
        <v>431</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65" customHeight="1">
      <c r="Q37" s="28"/>
      <c r="R37" s="28"/>
      <c r="S37" s="1288" t="s">
        <v>88</v>
      </c>
      <c r="T37" s="1237" t="s">
        <v>432</v>
      </c>
      <c r="U37" s="172"/>
      <c r="V37" s="1289" t="s">
        <v>433</v>
      </c>
      <c r="W37" s="1290"/>
      <c r="X37" s="1290"/>
      <c r="Y37" s="1290"/>
      <c r="Z37" s="1290"/>
      <c r="AA37" s="1291"/>
      <c r="AB37" s="1292" t="s">
        <v>434</v>
      </c>
      <c r="AC37" s="1289" t="s">
        <v>433</v>
      </c>
      <c r="AD37" s="1290"/>
      <c r="AE37" s="1290"/>
      <c r="AF37" s="1290"/>
      <c r="AG37" s="1290"/>
      <c r="AH37" s="1291"/>
      <c r="AI37" s="1292" t="s">
        <v>435</v>
      </c>
      <c r="AJ37" s="1295" t="s">
        <v>436</v>
      </c>
      <c r="AK37" s="1148"/>
      <c r="AQ37" s="11">
        <v>14</v>
      </c>
    </row>
    <row r="38" spans="1:43" ht="35.65" customHeight="1">
      <c r="Q38" s="28"/>
      <c r="R38" s="28"/>
      <c r="S38" s="1288"/>
      <c r="T38" s="1237"/>
      <c r="U38" s="607"/>
      <c r="V38" s="340" t="s">
        <v>493</v>
      </c>
      <c r="W38" s="1129" t="s">
        <v>439</v>
      </c>
      <c r="X38" s="1128"/>
      <c r="Y38" s="1129" t="s">
        <v>440</v>
      </c>
      <c r="Z38" s="1135"/>
      <c r="AA38" s="1128"/>
      <c r="AB38" s="1293"/>
      <c r="AC38" s="340" t="s">
        <v>493</v>
      </c>
      <c r="AD38" s="1129" t="s">
        <v>439</v>
      </c>
      <c r="AE38" s="1128"/>
      <c r="AF38" s="1129" t="s">
        <v>440</v>
      </c>
      <c r="AG38" s="1135"/>
      <c r="AH38" s="1128"/>
      <c r="AI38" s="1293"/>
      <c r="AJ38" s="1296"/>
      <c r="AK38" s="1148"/>
      <c r="AQ38" s="11">
        <v>34</v>
      </c>
    </row>
    <row r="39" spans="1:43" ht="90.4" customHeight="1">
      <c r="A39" s="82"/>
      <c r="B39" s="82" t="s">
        <v>141</v>
      </c>
      <c r="C39" s="82" t="s">
        <v>142</v>
      </c>
      <c r="D39" s="82" t="s">
        <v>143</v>
      </c>
      <c r="E39" s="770" t="s">
        <v>441</v>
      </c>
      <c r="F39" s="770" t="s">
        <v>442</v>
      </c>
      <c r="G39" s="770" t="s">
        <v>443</v>
      </c>
      <c r="H39" s="770"/>
      <c r="I39" s="770" t="s">
        <v>494</v>
      </c>
      <c r="J39" s="770" t="s">
        <v>446</v>
      </c>
      <c r="K39" s="770" t="s">
        <v>495</v>
      </c>
      <c r="L39" s="770" t="s">
        <v>422</v>
      </c>
      <c r="Q39" s="28"/>
      <c r="R39" s="28"/>
      <c r="S39" s="1288"/>
      <c r="T39" s="1237"/>
      <c r="U39" s="173"/>
      <c r="V39" s="340" t="s">
        <v>522</v>
      </c>
      <c r="W39" s="39" t="s">
        <v>523</v>
      </c>
      <c r="X39" s="39" t="s">
        <v>498</v>
      </c>
      <c r="Y39" s="39" t="s">
        <v>450</v>
      </c>
      <c r="Z39" s="1242" t="s">
        <v>451</v>
      </c>
      <c r="AA39" s="1255"/>
      <c r="AB39" s="1294"/>
      <c r="AC39" s="340" t="s">
        <v>522</v>
      </c>
      <c r="AD39" s="39" t="s">
        <v>523</v>
      </c>
      <c r="AE39" s="39" t="s">
        <v>498</v>
      </c>
      <c r="AF39" s="39" t="s">
        <v>450</v>
      </c>
      <c r="AG39" s="1242" t="s">
        <v>451</v>
      </c>
      <c r="AH39" s="1255"/>
      <c r="AI39" s="1294"/>
      <c r="AJ39" s="1297"/>
      <c r="AK39" s="1148"/>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115</v>
      </c>
      <c r="T40" s="726" t="s">
        <v>103</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275</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129</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275</v>
      </c>
      <c r="B42" s="769" t="s">
        <v>276</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402</v>
      </c>
      <c r="AM42" s="69"/>
      <c r="AN42" s="69" t="str">
        <f t="shared" si="1"/>
        <v>Территория действия тарифа</v>
      </c>
      <c r="AO42" s="69"/>
      <c r="AP42" s="69"/>
      <c r="AQ42" s="11">
        <v>23</v>
      </c>
    </row>
    <row r="43" spans="1:43" ht="24" customHeight="1">
      <c r="A43" s="769" t="s">
        <v>275</v>
      </c>
      <c r="B43" s="769" t="s">
        <v>276</v>
      </c>
      <c r="C43" s="769" t="s">
        <v>277</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520</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521</v>
      </c>
      <c r="AM43" s="69"/>
      <c r="AN43" s="69" t="str">
        <f t="shared" si="1"/>
        <v>Наименование централизованной системы водоотведения</v>
      </c>
      <c r="AO43" s="69"/>
      <c r="AP43" s="69"/>
      <c r="AQ43" s="11">
        <v>23</v>
      </c>
    </row>
    <row r="44" spans="1:43" ht="24" customHeight="1">
      <c r="A44" s="769" t="s">
        <v>275</v>
      </c>
      <c r="B44" s="769" t="s">
        <v>276</v>
      </c>
      <c r="C44" s="769" t="s">
        <v>277</v>
      </c>
      <c r="D44" s="769" t="s">
        <v>525</v>
      </c>
      <c r="E44" s="1276"/>
      <c r="F44" s="1276"/>
      <c r="G44" s="1276"/>
      <c r="H44" s="1276"/>
      <c r="I44" s="1277" t="str">
        <f>S43&amp;".1"</f>
        <v>...1</v>
      </c>
      <c r="J44" s="769"/>
      <c r="K44" s="769"/>
      <c r="L44" s="770"/>
      <c r="P44" s="1279">
        <v>1</v>
      </c>
      <c r="Q44" s="122"/>
      <c r="R44" s="208"/>
      <c r="S44" s="709" t="str">
        <f>$I44</f>
        <v>...1</v>
      </c>
      <c r="T44" s="164" t="s">
        <v>487</v>
      </c>
      <c r="U44" s="171"/>
      <c r="V44" s="1343"/>
      <c r="W44" s="1344"/>
      <c r="X44" s="1344"/>
      <c r="Y44" s="1344"/>
      <c r="Z44" s="1344"/>
      <c r="AA44" s="1344"/>
      <c r="AB44" s="1345"/>
      <c r="AC44" s="1346"/>
      <c r="AD44" s="1347"/>
      <c r="AE44" s="1347"/>
      <c r="AF44" s="1347"/>
      <c r="AG44" s="1347"/>
      <c r="AH44" s="1347"/>
      <c r="AI44" s="1347"/>
      <c r="AJ44" s="1348"/>
      <c r="AK44" s="729" t="s">
        <v>488</v>
      </c>
      <c r="AM44" s="69"/>
      <c r="AN44" s="69" t="str">
        <f t="shared" si="1"/>
        <v>Наименование признака дифференциации</v>
      </c>
      <c r="AO44" s="69"/>
      <c r="AP44" s="69"/>
      <c r="AQ44" s="11">
        <v>23</v>
      </c>
    </row>
    <row r="45" spans="1:43" ht="24" customHeight="1">
      <c r="A45" s="769" t="s">
        <v>275</v>
      </c>
      <c r="B45" s="769" t="s">
        <v>276</v>
      </c>
      <c r="C45" s="769" t="s">
        <v>277</v>
      </c>
      <c r="D45" s="769" t="s">
        <v>525</v>
      </c>
      <c r="E45" s="1276"/>
      <c r="F45" s="1276"/>
      <c r="G45" s="1276"/>
      <c r="H45" s="1276"/>
      <c r="I45" s="1278"/>
      <c r="J45" s="1277" t="str">
        <f>I44&amp;".1"</f>
        <v>...1.1</v>
      </c>
      <c r="K45" s="769"/>
      <c r="L45" s="770" t="s">
        <v>410</v>
      </c>
      <c r="P45" s="1279"/>
      <c r="Q45" s="1279">
        <v>1</v>
      </c>
      <c r="R45" s="209"/>
      <c r="S45" s="709" t="str">
        <f>$J45</f>
        <v>...1.1</v>
      </c>
      <c r="T45" s="165" t="s">
        <v>411</v>
      </c>
      <c r="U45" s="171"/>
      <c r="V45" s="1263"/>
      <c r="W45" s="1264"/>
      <c r="X45" s="1264"/>
      <c r="Y45" s="1264"/>
      <c r="Z45" s="1264"/>
      <c r="AA45" s="1264"/>
      <c r="AB45" s="1265"/>
      <c r="AC45" s="1263"/>
      <c r="AD45" s="1264"/>
      <c r="AE45" s="1264"/>
      <c r="AF45" s="1264"/>
      <c r="AG45" s="1264"/>
      <c r="AH45" s="1264"/>
      <c r="AI45" s="1264"/>
      <c r="AJ45" s="1265"/>
      <c r="AK45" s="753" t="s">
        <v>489</v>
      </c>
      <c r="AM45" s="69"/>
      <c r="AN45" s="69" t="str">
        <f t="shared" si="1"/>
        <v>Группа потребителей</v>
      </c>
      <c r="AO45" s="69"/>
      <c r="AP45" s="69"/>
      <c r="AQ45" s="11">
        <v>23</v>
      </c>
    </row>
    <row r="46" spans="1:43" ht="24" customHeight="1">
      <c r="A46" s="769" t="s">
        <v>275</v>
      </c>
      <c r="B46" s="769" t="s">
        <v>276</v>
      </c>
      <c r="C46" s="769" t="s">
        <v>277</v>
      </c>
      <c r="D46" s="769" t="s">
        <v>525</v>
      </c>
      <c r="E46" s="1276"/>
      <c r="F46" s="1276"/>
      <c r="G46" s="1276"/>
      <c r="H46" s="1276"/>
      <c r="I46" s="1278"/>
      <c r="J46" s="1278"/>
      <c r="K46" s="1277" t="str">
        <f>J45&amp;".1"</f>
        <v>...1.1.1</v>
      </c>
      <c r="L46" s="770"/>
      <c r="P46" s="1279"/>
      <c r="Q46" s="1279"/>
      <c r="R46" s="209">
        <v>1</v>
      </c>
      <c r="S46" s="709" t="str">
        <f>$K46</f>
        <v>...1.1.1</v>
      </c>
      <c r="T46" s="812"/>
      <c r="U46" s="171"/>
      <c r="V46" s="368"/>
      <c r="W46" s="368"/>
      <c r="X46" s="768"/>
      <c r="Y46" s="1273"/>
      <c r="Z46" s="1272" t="s">
        <v>66</v>
      </c>
      <c r="AA46" s="1273"/>
      <c r="AB46" s="1272" t="s">
        <v>66</v>
      </c>
      <c r="AC46" s="306"/>
      <c r="AD46" s="306"/>
      <c r="AE46" s="728"/>
      <c r="AF46" s="1280"/>
      <c r="AG46" s="1158" t="s">
        <v>66</v>
      </c>
      <c r="AH46" s="1282"/>
      <c r="AI46" s="1158" t="s">
        <v>19</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275</v>
      </c>
      <c r="B47" s="769" t="s">
        <v>276</v>
      </c>
      <c r="C47" s="769" t="s">
        <v>277</v>
      </c>
      <c r="D47" s="769" t="s">
        <v>525</v>
      </c>
      <c r="E47" s="1276"/>
      <c r="F47" s="1276"/>
      <c r="G47" s="1276"/>
      <c r="H47" s="1276"/>
      <c r="I47" s="1278"/>
      <c r="J47" s="1278"/>
      <c r="K47" s="1277"/>
      <c r="L47" s="770"/>
      <c r="P47" s="1279"/>
      <c r="Q47" s="1279"/>
      <c r="R47" s="209"/>
      <c r="S47" s="65"/>
      <c r="T47" s="171"/>
      <c r="U47" s="171"/>
      <c r="V47" s="368"/>
      <c r="W47" s="368"/>
      <c r="X47" s="192" t="str">
        <f>Y46&amp;"-"&amp;AA46</f>
        <v>-</v>
      </c>
      <c r="Y47" s="1272"/>
      <c r="Z47" s="1272"/>
      <c r="AA47" s="1272"/>
      <c r="AB47" s="1272"/>
      <c r="AC47" s="191"/>
      <c r="AD47" s="191"/>
      <c r="AE47" s="192" t="str">
        <f>AF46&amp;"-"&amp;AH46</f>
        <v>-</v>
      </c>
      <c r="AF47" s="1281"/>
      <c r="AG47" s="1158"/>
      <c r="AH47" s="1283"/>
      <c r="AI47" s="1158"/>
      <c r="AJ47" s="388"/>
      <c r="AK47" s="1349"/>
      <c r="AM47" s="69"/>
      <c r="AN47" s="69" t="str">
        <f t="shared" si="1"/>
        <v/>
      </c>
      <c r="AO47" s="69"/>
      <c r="AP47" s="69"/>
      <c r="AQ47" s="11">
        <v>0</v>
      </c>
    </row>
    <row r="48" spans="1:43" ht="21" customHeight="1">
      <c r="A48" s="769" t="s">
        <v>275</v>
      </c>
      <c r="B48" s="769" t="s">
        <v>276</v>
      </c>
      <c r="C48" s="769" t="s">
        <v>277</v>
      </c>
      <c r="D48" s="769" t="s">
        <v>525</v>
      </c>
      <c r="E48" s="1276"/>
      <c r="F48" s="1276"/>
      <c r="G48" s="1276"/>
      <c r="H48" s="1276"/>
      <c r="I48" s="1278"/>
      <c r="J48" s="1277"/>
      <c r="K48" s="769"/>
      <c r="L48" s="770"/>
      <c r="P48" s="1279"/>
      <c r="Q48" s="1279"/>
      <c r="R48" s="208"/>
      <c r="S48" s="742"/>
      <c r="T48" s="166" t="s">
        <v>490</v>
      </c>
      <c r="U48" s="213"/>
      <c r="V48" s="213"/>
      <c r="W48" s="213"/>
      <c r="X48" s="213"/>
      <c r="Y48" s="213"/>
      <c r="Z48" s="213"/>
      <c r="AA48" s="213"/>
      <c r="AB48" s="213"/>
      <c r="AC48" s="213"/>
      <c r="AD48" s="213"/>
      <c r="AE48" s="213"/>
      <c r="AF48" s="213"/>
      <c r="AG48" s="213"/>
      <c r="AH48" s="213"/>
      <c r="AI48" s="213"/>
      <c r="AJ48" s="213"/>
      <c r="AK48" s="729" t="s">
        <v>491</v>
      </c>
      <c r="AM48" s="69"/>
      <c r="AN48" s="69" t="str">
        <f t="shared" si="1"/>
        <v>Добавить значение признака дифференциации</v>
      </c>
      <c r="AO48" s="69"/>
      <c r="AP48" s="69"/>
      <c r="AQ48" s="11">
        <v>20</v>
      </c>
    </row>
    <row r="49" spans="1:43" ht="21.95" customHeight="1">
      <c r="A49" s="769" t="s">
        <v>275</v>
      </c>
      <c r="B49" s="769" t="s">
        <v>276</v>
      </c>
      <c r="C49" s="769" t="s">
        <v>277</v>
      </c>
      <c r="D49" s="769" t="s">
        <v>525</v>
      </c>
      <c r="E49" s="1276"/>
      <c r="F49" s="1276"/>
      <c r="G49" s="1276"/>
      <c r="H49" s="1276"/>
      <c r="I49" s="1277"/>
      <c r="J49" s="769"/>
      <c r="K49" s="769"/>
      <c r="L49" s="770"/>
      <c r="P49" s="1279"/>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275</v>
      </c>
      <c r="B50" s="769" t="s">
        <v>276</v>
      </c>
      <c r="C50" s="769" t="s">
        <v>277</v>
      </c>
      <c r="D50" s="769" t="s">
        <v>525</v>
      </c>
      <c r="E50" s="1276"/>
      <c r="F50" s="1276"/>
      <c r="G50" s="1276"/>
      <c r="H50" s="1275"/>
      <c r="I50" s="769"/>
      <c r="J50" s="769"/>
      <c r="K50" s="769"/>
      <c r="L50" s="770"/>
      <c r="M50" s="426"/>
      <c r="N50" s="426"/>
      <c r="O50" s="63"/>
      <c r="P50" s="34"/>
      <c r="Q50" s="216"/>
      <c r="R50" s="207"/>
      <c r="S50" s="742"/>
      <c r="T50" s="107" t="s">
        <v>492</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275</v>
      </c>
      <c r="B51" s="145" t="s">
        <v>276</v>
      </c>
      <c r="C51" s="145"/>
      <c r="D51" s="145"/>
      <c r="E51" s="1276"/>
      <c r="F51" s="1275"/>
      <c r="G51" s="145"/>
      <c r="H51" s="145"/>
      <c r="I51" s="145"/>
      <c r="J51" s="145"/>
      <c r="K51" s="145"/>
      <c r="L51" s="346"/>
      <c r="M51" s="759"/>
      <c r="N51" s="759"/>
      <c r="P51" s="104"/>
      <c r="Q51" s="755"/>
      <c r="R51" s="104"/>
      <c r="S51" s="760"/>
      <c r="T51" s="762" t="s">
        <v>419</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275</v>
      </c>
      <c r="B52" s="145"/>
      <c r="C52" s="145"/>
      <c r="D52" s="145"/>
      <c r="E52" s="1275"/>
      <c r="F52" s="145"/>
      <c r="G52" s="145"/>
      <c r="H52" s="145"/>
      <c r="I52" s="145"/>
      <c r="J52" s="145"/>
      <c r="K52" s="145"/>
      <c r="L52" s="346"/>
      <c r="M52" s="759"/>
      <c r="N52" s="759"/>
      <c r="P52" s="104"/>
      <c r="Q52" s="755"/>
      <c r="R52" s="104"/>
      <c r="S52" s="760"/>
      <c r="T52" s="762" t="s">
        <v>420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452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73A55-4D19-3047-8C8F-01BD53B1C29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5">
        <v>1</v>
      </c>
      <c r="F2" s="769"/>
      <c r="G2" s="769"/>
      <c r="H2" s="769"/>
      <c r="I2" s="769"/>
      <c r="J2" s="769"/>
      <c r="K2" s="769"/>
      <c r="L2" s="770"/>
      <c r="M2" s="426"/>
      <c r="N2" s="426"/>
      <c r="O2" s="426"/>
      <c r="Q2" s="62"/>
      <c r="R2" s="207"/>
      <c r="S2" s="709" t="e">
        <f>INDEX(PT_DIFFERENTIATION_NUM_NTAR,MATCH(A2,PT_DIFFERENTIATION_NTAR_ID,0))</f>
        <v>#N/A</v>
      </c>
      <c r="T2" s="67" t="s">
        <v>129</v>
      </c>
      <c r="U2" s="171"/>
      <c r="V2" s="1270"/>
      <c r="W2" s="1270"/>
      <c r="X2" s="1270"/>
      <c r="Y2" s="1270"/>
      <c r="Z2" s="1270"/>
      <c r="AA2" s="1270"/>
      <c r="AB2" s="1270"/>
      <c r="AC2" s="1271"/>
      <c r="AD2" s="1269" t="e">
        <f>INDEX(PT_DIFFERENTIATION_NTAR,MATCH(A2,PT_DIFFERENTIATION_NTAR_ID,0))</f>
        <v>#N/A</v>
      </c>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1"/>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6"/>
      <c r="F3" s="1275">
        <v>1</v>
      </c>
      <c r="G3" s="769"/>
      <c r="H3" s="769"/>
      <c r="I3" s="769"/>
      <c r="J3" s="769"/>
      <c r="K3" s="769"/>
      <c r="L3" s="770"/>
      <c r="M3" s="426"/>
      <c r="N3" s="426"/>
      <c r="O3" s="426"/>
      <c r="P3" s="301"/>
      <c r="Q3" s="802"/>
      <c r="R3" s="205"/>
      <c r="S3" s="709" t="e">
        <f>INDEX(PT_DIFFERENTIATION_NUM_TER,MATCH(B3,PT_DIFFERENTIATION_TER_ID,0))</f>
        <v>#N/A</v>
      </c>
      <c r="T3" s="177" t="s">
        <v>401</v>
      </c>
      <c r="U3" s="171"/>
      <c r="V3" s="1270"/>
      <c r="W3" s="1270"/>
      <c r="X3" s="1270"/>
      <c r="Y3" s="1270"/>
      <c r="Z3" s="1270"/>
      <c r="AA3" s="1270"/>
      <c r="AB3" s="1270"/>
      <c r="AC3" s="1271"/>
      <c r="AD3" s="1269" t="e">
        <f>INDEX(PT_DIFFERENTIATION_TER,MATCH(B3,PT_DIFFERENTIATION_TER_ID,0))</f>
        <v>#N/A</v>
      </c>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1"/>
      <c r="BC3" s="729" t="s">
        <v>402</v>
      </c>
      <c r="BE3" s="69"/>
      <c r="BF3" s="69" t="str">
        <f t="shared" si="0"/>
        <v>Территория действия тарифа</v>
      </c>
      <c r="BG3" s="69"/>
      <c r="BH3" s="69"/>
      <c r="BI3" s="11">
        <v>0</v>
      </c>
    </row>
    <row r="4" spans="1:61" ht="33.75" hidden="1" customHeight="1">
      <c r="A4" s="769"/>
      <c r="B4" s="769"/>
      <c r="C4" s="769"/>
      <c r="D4" s="769"/>
      <c r="E4" s="1276"/>
      <c r="F4" s="1276"/>
      <c r="G4" s="1275">
        <v>1</v>
      </c>
      <c r="H4" s="769"/>
      <c r="I4" s="769"/>
      <c r="J4" s="769"/>
      <c r="K4" s="769"/>
      <c r="L4" s="770"/>
      <c r="M4" s="426"/>
      <c r="N4" s="426"/>
      <c r="O4" s="426"/>
      <c r="P4" s="131"/>
      <c r="Q4" s="802"/>
      <c r="R4" s="205"/>
      <c r="S4" s="709" t="e">
        <f>INDEX(PT_DIFFERENTIATION_NUM_CS,MATCH(C4,PT_DIFFERENTIATION_CS_ID,0))</f>
        <v>#N/A</v>
      </c>
      <c r="T4" s="178" t="s">
        <v>520</v>
      </c>
      <c r="U4" s="171"/>
      <c r="V4" s="1270"/>
      <c r="W4" s="1270"/>
      <c r="X4" s="1270"/>
      <c r="Y4" s="1270"/>
      <c r="Z4" s="1270"/>
      <c r="AA4" s="1270"/>
      <c r="AB4" s="1270"/>
      <c r="AC4" s="1271"/>
      <c r="AD4" s="1269" t="e">
        <f>INDEX(PT_DIFFERENTIATION_CS,MATCH(C4,PT_DIFFERENTIATION_CS_ID,0))</f>
        <v>#N/A</v>
      </c>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1"/>
      <c r="BC4" s="729" t="s">
        <v>521</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76"/>
      <c r="F5" s="1276"/>
      <c r="G5" s="1276"/>
      <c r="H5" s="1275">
        <v>1</v>
      </c>
      <c r="I5" s="145"/>
      <c r="J5" s="145"/>
      <c r="K5" s="145"/>
      <c r="L5" s="346"/>
      <c r="M5" s="293"/>
      <c r="N5" s="293"/>
      <c r="O5" s="293"/>
      <c r="P5" s="820"/>
      <c r="Q5" s="821"/>
      <c r="R5" s="209"/>
      <c r="S5" s="362"/>
      <c r="T5" s="822"/>
      <c r="U5" s="780"/>
      <c r="V5" s="1307"/>
      <c r="W5" s="1307"/>
      <c r="X5" s="1307"/>
      <c r="Y5" s="1307"/>
      <c r="Z5" s="1307"/>
      <c r="AA5" s="1307"/>
      <c r="AB5" s="1307"/>
      <c r="AC5" s="1308"/>
      <c r="AD5" s="1306"/>
      <c r="AE5" s="1307"/>
      <c r="AF5" s="1307"/>
      <c r="AG5" s="1307"/>
      <c r="AH5" s="1307"/>
      <c r="AI5" s="1307"/>
      <c r="AJ5" s="1307"/>
      <c r="AK5" s="1307"/>
      <c r="AL5" s="1307"/>
      <c r="AM5" s="1307"/>
      <c r="AN5" s="1307"/>
      <c r="AO5" s="1307"/>
      <c r="AP5" s="1307"/>
      <c r="AQ5" s="1307"/>
      <c r="AR5" s="1307"/>
      <c r="AS5" s="1307"/>
      <c r="AT5" s="1307"/>
      <c r="AU5" s="1307"/>
      <c r="AV5" s="1307"/>
      <c r="AW5" s="1307"/>
      <c r="AX5" s="1307"/>
      <c r="AY5" s="1307"/>
      <c r="AZ5" s="1307"/>
      <c r="BA5" s="1307"/>
      <c r="BB5" s="1308"/>
      <c r="BC5" s="781" t="s">
        <v>406</v>
      </c>
      <c r="BE5" s="69"/>
      <c r="BF5" s="69" t="str">
        <f t="shared" si="0"/>
        <v/>
      </c>
      <c r="BG5" s="69"/>
      <c r="BH5" s="69"/>
      <c r="BI5" s="68">
        <v>0</v>
      </c>
    </row>
    <row r="6" spans="1:61" s="68" customFormat="1" ht="14.25" hidden="1" customHeight="1">
      <c r="A6" s="145"/>
      <c r="B6" s="145"/>
      <c r="C6" s="145"/>
      <c r="D6" s="145"/>
      <c r="E6" s="1276"/>
      <c r="F6" s="1276"/>
      <c r="G6" s="1276"/>
      <c r="H6" s="1276"/>
      <c r="I6" s="1277" t="str">
        <f>S5&amp;".1"</f>
        <v>.1</v>
      </c>
      <c r="J6" s="145"/>
      <c r="K6" s="145"/>
      <c r="L6" s="346" t="s">
        <v>407</v>
      </c>
      <c r="M6" s="290"/>
      <c r="N6" s="290"/>
      <c r="O6" s="290"/>
      <c r="P6" s="1279">
        <v>1</v>
      </c>
      <c r="Q6" s="122"/>
      <c r="R6" s="208"/>
      <c r="S6" s="362"/>
      <c r="T6" s="779"/>
      <c r="U6" s="780"/>
      <c r="V6" s="1307"/>
      <c r="W6" s="1307"/>
      <c r="X6" s="1307"/>
      <c r="Y6" s="1307"/>
      <c r="Z6" s="1307"/>
      <c r="AA6" s="1307"/>
      <c r="AB6" s="1307"/>
      <c r="AC6" s="1308"/>
      <c r="AD6" s="1306"/>
      <c r="AE6" s="1307"/>
      <c r="AF6" s="1307"/>
      <c r="AG6" s="1307"/>
      <c r="AH6" s="1307"/>
      <c r="AI6" s="1307"/>
      <c r="AJ6" s="1307"/>
      <c r="AK6" s="1307"/>
      <c r="AL6" s="1307"/>
      <c r="AM6" s="1307"/>
      <c r="AN6" s="1307"/>
      <c r="AO6" s="1307"/>
      <c r="AP6" s="1307"/>
      <c r="AQ6" s="1307"/>
      <c r="AR6" s="1307"/>
      <c r="AS6" s="1307"/>
      <c r="AT6" s="1307"/>
      <c r="AU6" s="1307"/>
      <c r="AV6" s="1307"/>
      <c r="AW6" s="1307"/>
      <c r="AX6" s="1307"/>
      <c r="AY6" s="1307"/>
      <c r="AZ6" s="1307"/>
      <c r="BA6" s="1307"/>
      <c r="BB6" s="1308"/>
      <c r="BC6" s="781"/>
      <c r="BE6" s="69"/>
      <c r="BF6" s="69" t="str">
        <f t="shared" si="0"/>
        <v/>
      </c>
      <c r="BG6" s="69"/>
      <c r="BH6" s="69"/>
      <c r="BI6" s="68">
        <v>0</v>
      </c>
    </row>
    <row r="7" spans="1:61" s="68" customFormat="1" ht="14.25" hidden="1" customHeight="1">
      <c r="A7" s="145"/>
      <c r="B7" s="145"/>
      <c r="C7" s="145"/>
      <c r="D7" s="145"/>
      <c r="E7" s="1276"/>
      <c r="F7" s="1276"/>
      <c r="G7" s="1276"/>
      <c r="H7" s="1276"/>
      <c r="I7" s="1278"/>
      <c r="J7" s="1277" t="str">
        <f>S5&amp;".1"</f>
        <v>.1</v>
      </c>
      <c r="K7" s="145"/>
      <c r="L7" s="346"/>
      <c r="M7" s="290"/>
      <c r="N7" s="290"/>
      <c r="O7" s="290"/>
      <c r="P7" s="1279"/>
      <c r="Q7" s="1279">
        <v>1</v>
      </c>
      <c r="R7" s="209"/>
      <c r="S7" s="362"/>
      <c r="T7" s="794"/>
      <c r="U7" s="780"/>
      <c r="V7" s="1307"/>
      <c r="W7" s="1307"/>
      <c r="X7" s="1307"/>
      <c r="Y7" s="1307"/>
      <c r="Z7" s="1307"/>
      <c r="AA7" s="1307"/>
      <c r="AB7" s="1307"/>
      <c r="AC7" s="1308"/>
      <c r="AD7" s="1306"/>
      <c r="AE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8"/>
      <c r="BC7" s="781"/>
      <c r="BE7" s="69"/>
      <c r="BF7" s="69" t="str">
        <f t="shared" si="0"/>
        <v/>
      </c>
      <c r="BG7" s="69"/>
      <c r="BH7" s="69"/>
      <c r="BI7" s="68">
        <v>0</v>
      </c>
    </row>
    <row r="8" spans="1:61" ht="11.25" hidden="1" customHeight="1">
      <c r="A8" s="769"/>
      <c r="B8" s="769"/>
      <c r="C8" s="769"/>
      <c r="D8" s="769"/>
      <c r="E8" s="1276"/>
      <c r="F8" s="1276"/>
      <c r="G8" s="1276"/>
      <c r="H8" s="1276"/>
      <c r="I8" s="1278"/>
      <c r="J8" s="1278"/>
      <c r="K8" s="1277" t="e">
        <f>S4&amp;".1"</f>
        <v>#N/A</v>
      </c>
      <c r="L8" s="770"/>
      <c r="P8" s="1279"/>
      <c r="Q8" s="1279"/>
      <c r="R8" s="1335">
        <v>1</v>
      </c>
      <c r="S8" s="1332" t="e">
        <f>$K8</f>
        <v>#N/A</v>
      </c>
      <c r="T8" s="1352"/>
      <c r="U8" s="171"/>
      <c r="V8" s="306"/>
      <c r="W8" s="728"/>
      <c r="X8" s="306"/>
      <c r="Y8" s="728"/>
      <c r="Z8" s="943"/>
      <c r="AA8" s="297" t="s">
        <v>66</v>
      </c>
      <c r="AB8" s="943"/>
      <c r="AC8" s="297" t="s">
        <v>66</v>
      </c>
      <c r="AD8" s="1220" t="s">
        <v>66</v>
      </c>
      <c r="AE8" s="1328"/>
      <c r="AF8" s="1233">
        <v>1</v>
      </c>
      <c r="AG8" s="1351"/>
      <c r="AH8" s="1158" t="s">
        <v>66</v>
      </c>
      <c r="AI8" s="1328"/>
      <c r="AJ8" s="1233">
        <v>1</v>
      </c>
      <c r="AK8" s="1342" t="s">
        <v>22</v>
      </c>
      <c r="AL8" s="1158" t="s">
        <v>66</v>
      </c>
      <c r="AM8" s="1208"/>
      <c r="AN8" s="1233">
        <v>1</v>
      </c>
      <c r="AO8" s="1355"/>
      <c r="AP8" s="1356" t="s">
        <v>66</v>
      </c>
      <c r="AQ8" s="180"/>
      <c r="AR8" s="268">
        <v>1</v>
      </c>
      <c r="AS8" s="119" t="s">
        <v>22</v>
      </c>
      <c r="AT8" s="306"/>
      <c r="AU8" s="728"/>
      <c r="AV8" s="306"/>
      <c r="AW8" s="728"/>
      <c r="AX8" s="943"/>
      <c r="AY8" s="297" t="s">
        <v>66</v>
      </c>
      <c r="AZ8" s="943"/>
      <c r="BA8" s="297" t="s">
        <v>66</v>
      </c>
      <c r="BB8" s="766"/>
      <c r="BC8" s="1298" t="s">
        <v>505</v>
      </c>
      <c r="BE8" s="69"/>
      <c r="BF8" s="69" t="str">
        <f t="shared" si="0"/>
        <v/>
      </c>
      <c r="BG8" s="69"/>
      <c r="BH8" s="69"/>
      <c r="BI8" s="11">
        <v>0</v>
      </c>
    </row>
    <row r="9" spans="1:61" ht="11.25" hidden="1" customHeight="1">
      <c r="A9" s="769"/>
      <c r="B9" s="769"/>
      <c r="C9" s="769"/>
      <c r="D9" s="769"/>
      <c r="E9" s="1276"/>
      <c r="F9" s="1276"/>
      <c r="G9" s="1276"/>
      <c r="H9" s="1276"/>
      <c r="I9" s="1278"/>
      <c r="J9" s="1278"/>
      <c r="K9" s="1277"/>
      <c r="L9" s="770"/>
      <c r="P9" s="1279"/>
      <c r="Q9" s="1279"/>
      <c r="R9" s="1335"/>
      <c r="S9" s="1333"/>
      <c r="T9" s="1353"/>
      <c r="U9" s="171"/>
      <c r="V9" s="789"/>
      <c r="W9" s="819"/>
      <c r="X9" s="789"/>
      <c r="Y9" s="819"/>
      <c r="Z9" s="789"/>
      <c r="AA9" s="789"/>
      <c r="AB9" s="789"/>
      <c r="AC9" s="789"/>
      <c r="AD9" s="1221"/>
      <c r="AE9" s="1328"/>
      <c r="AF9" s="1233"/>
      <c r="AG9" s="1351"/>
      <c r="AH9" s="1158"/>
      <c r="AI9" s="1328"/>
      <c r="AJ9" s="1233"/>
      <c r="AK9" s="1342"/>
      <c r="AL9" s="1158"/>
      <c r="AM9" s="1213"/>
      <c r="AN9" s="1233"/>
      <c r="AO9" s="1355"/>
      <c r="AP9" s="1357"/>
      <c r="AQ9" s="184"/>
      <c r="AR9" s="52"/>
      <c r="AS9" s="52" t="s">
        <v>506</v>
      </c>
      <c r="AT9" s="789"/>
      <c r="AU9" s="819"/>
      <c r="AV9" s="789"/>
      <c r="AW9" s="819"/>
      <c r="AX9" s="789"/>
      <c r="AY9" s="789"/>
      <c r="AZ9" s="789"/>
      <c r="BA9" s="789"/>
      <c r="BB9" s="793"/>
      <c r="BC9" s="1299"/>
      <c r="BE9" s="69"/>
      <c r="BF9" s="69"/>
      <c r="BG9" s="69"/>
      <c r="BH9" s="69"/>
      <c r="BI9" s="11">
        <v>0</v>
      </c>
    </row>
    <row r="10" spans="1:61" ht="11.25" hidden="1" customHeight="1">
      <c r="A10" s="769"/>
      <c r="B10" s="769"/>
      <c r="C10" s="769"/>
      <c r="D10" s="769"/>
      <c r="E10" s="1276"/>
      <c r="F10" s="1276"/>
      <c r="G10" s="1276"/>
      <c r="H10" s="1276"/>
      <c r="I10" s="1278"/>
      <c r="J10" s="1278"/>
      <c r="K10" s="1277"/>
      <c r="L10" s="770"/>
      <c r="P10" s="1279"/>
      <c r="Q10" s="1279"/>
      <c r="R10" s="1335"/>
      <c r="S10" s="1333"/>
      <c r="T10" s="1353"/>
      <c r="U10" s="171"/>
      <c r="V10" s="789"/>
      <c r="W10" s="819"/>
      <c r="X10" s="789"/>
      <c r="Y10" s="819"/>
      <c r="Z10" s="789"/>
      <c r="AA10" s="789"/>
      <c r="AB10" s="789"/>
      <c r="AC10" s="789"/>
      <c r="AD10" s="1221"/>
      <c r="AE10" s="1328"/>
      <c r="AF10" s="1233"/>
      <c r="AG10" s="1351"/>
      <c r="AH10" s="1158"/>
      <c r="AI10" s="1328"/>
      <c r="AJ10" s="1233"/>
      <c r="AK10" s="1342"/>
      <c r="AL10" s="1158"/>
      <c r="AM10" s="184"/>
      <c r="AN10" s="823"/>
      <c r="AO10" s="823" t="s">
        <v>526</v>
      </c>
      <c r="AP10" s="52"/>
      <c r="AQ10" s="52"/>
      <c r="AR10" s="52"/>
      <c r="AS10" s="789"/>
      <c r="AT10" s="789"/>
      <c r="AU10" s="819"/>
      <c r="AV10" s="789"/>
      <c r="AW10" s="819"/>
      <c r="AX10" s="789"/>
      <c r="AY10" s="789"/>
      <c r="AZ10" s="789"/>
      <c r="BA10" s="789"/>
      <c r="BB10" s="793"/>
      <c r="BC10" s="1299"/>
      <c r="BE10" s="69"/>
      <c r="BF10" s="69"/>
      <c r="BG10" s="69"/>
      <c r="BH10" s="69"/>
      <c r="BI10" s="11">
        <v>0</v>
      </c>
    </row>
    <row r="11" spans="1:61" ht="11.25" hidden="1" customHeight="1">
      <c r="A11" s="769"/>
      <c r="B11" s="769"/>
      <c r="C11" s="769"/>
      <c r="D11" s="769"/>
      <c r="E11" s="1276"/>
      <c r="F11" s="1276"/>
      <c r="G11" s="1276"/>
      <c r="H11" s="1276"/>
      <c r="I11" s="1278"/>
      <c r="J11" s="1278"/>
      <c r="K11" s="1277"/>
      <c r="L11" s="770"/>
      <c r="P11" s="1279"/>
      <c r="Q11" s="1279"/>
      <c r="R11" s="1335"/>
      <c r="S11" s="1333"/>
      <c r="T11" s="1353"/>
      <c r="U11" s="171"/>
      <c r="V11" s="789"/>
      <c r="W11" s="819"/>
      <c r="X11" s="789"/>
      <c r="Y11" s="819"/>
      <c r="Z11" s="789"/>
      <c r="AA11" s="789"/>
      <c r="AB11" s="789"/>
      <c r="AC11" s="789"/>
      <c r="AD11" s="1221"/>
      <c r="AE11" s="1328"/>
      <c r="AF11" s="1233"/>
      <c r="AG11" s="1351"/>
      <c r="AH11" s="1158"/>
      <c r="AI11" s="169"/>
      <c r="AJ11" s="110"/>
      <c r="AK11" s="182" t="s">
        <v>527</v>
      </c>
      <c r="AL11" s="789"/>
      <c r="AM11" s="789"/>
      <c r="AN11" s="789"/>
      <c r="AO11" s="789"/>
      <c r="AP11" s="789"/>
      <c r="AQ11" s="789"/>
      <c r="AR11" s="789"/>
      <c r="AS11" s="789"/>
      <c r="AT11" s="789"/>
      <c r="AU11" s="819"/>
      <c r="AV11" s="789"/>
      <c r="AW11" s="819"/>
      <c r="AX11" s="789"/>
      <c r="AY11" s="789"/>
      <c r="AZ11" s="789"/>
      <c r="BA11" s="789"/>
      <c r="BB11" s="793"/>
      <c r="BC11" s="1299"/>
      <c r="BE11" s="69"/>
      <c r="BF11" s="69"/>
      <c r="BG11" s="69"/>
      <c r="BH11" s="69"/>
      <c r="BI11" s="11">
        <v>0</v>
      </c>
    </row>
    <row r="12" spans="1:61" ht="11.25" hidden="1" customHeight="1">
      <c r="A12" s="769"/>
      <c r="B12" s="769"/>
      <c r="C12" s="769"/>
      <c r="D12" s="769"/>
      <c r="E12" s="1276"/>
      <c r="F12" s="1276"/>
      <c r="G12" s="1276"/>
      <c r="H12" s="1276"/>
      <c r="I12" s="1278"/>
      <c r="J12" s="1278"/>
      <c r="K12" s="1277"/>
      <c r="L12" s="770"/>
      <c r="P12" s="1279"/>
      <c r="Q12" s="1279"/>
      <c r="R12" s="1335"/>
      <c r="S12" s="1334"/>
      <c r="T12" s="1354"/>
      <c r="U12" s="171"/>
      <c r="V12" s="789"/>
      <c r="W12" s="790" t="str">
        <f>Z8&amp;"-"&amp;AB8</f>
        <v>-</v>
      </c>
      <c r="X12" s="789"/>
      <c r="Y12" s="790" t="str">
        <f>AB8&amp;"-"&amp;AD8</f>
        <v>-да</v>
      </c>
      <c r="Z12" s="789"/>
      <c r="AA12" s="789"/>
      <c r="AB12" s="789"/>
      <c r="AC12" s="789"/>
      <c r="AD12" s="1163"/>
      <c r="AE12" s="181"/>
      <c r="AF12" s="183"/>
      <c r="AG12" s="52" t="s">
        <v>509</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299"/>
      <c r="BE12" s="69"/>
      <c r="BF12" s="69" t="str">
        <f t="shared" ref="BF12:BF18" si="1">IF(T12="","",T12)</f>
        <v/>
      </c>
      <c r="BG12" s="69"/>
      <c r="BH12" s="69"/>
      <c r="BI12" s="11">
        <v>0</v>
      </c>
    </row>
    <row r="13" spans="1:61" ht="11.25" hidden="1" customHeight="1">
      <c r="A13" s="769"/>
      <c r="B13" s="769"/>
      <c r="C13" s="769"/>
      <c r="D13" s="769"/>
      <c r="E13" s="1276"/>
      <c r="F13" s="1276"/>
      <c r="G13" s="1276"/>
      <c r="H13" s="1276"/>
      <c r="I13" s="1278"/>
      <c r="J13" s="1277"/>
      <c r="K13" s="769"/>
      <c r="L13" s="770"/>
      <c r="P13" s="1279"/>
      <c r="Q13" s="1279"/>
      <c r="R13" s="208"/>
      <c r="S13" s="742"/>
      <c r="T13" s="166" t="s">
        <v>472</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0"/>
      <c r="BE13" s="69"/>
      <c r="BF13" s="69" t="str">
        <f t="shared" si="1"/>
        <v>Добавить строку</v>
      </c>
      <c r="BG13" s="69"/>
      <c r="BH13" s="69"/>
      <c r="BI13" s="11">
        <v>0</v>
      </c>
    </row>
    <row r="14" spans="1:61" s="68" customFormat="1" ht="14.25" hidden="1" customHeight="1">
      <c r="A14" s="145"/>
      <c r="B14" s="145"/>
      <c r="C14" s="145"/>
      <c r="D14" s="145"/>
      <c r="E14" s="1276"/>
      <c r="F14" s="1276"/>
      <c r="G14" s="1276"/>
      <c r="H14" s="1276"/>
      <c r="I14" s="1277"/>
      <c r="J14" s="145"/>
      <c r="K14" s="145"/>
      <c r="L14" s="346"/>
      <c r="M14" s="290"/>
      <c r="N14" s="290"/>
      <c r="O14" s="290"/>
      <c r="P14" s="1279"/>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6"/>
      <c r="F15" s="1276"/>
      <c r="G15" s="1276"/>
      <c r="H15" s="1275"/>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6"/>
      <c r="F16" s="1276"/>
      <c r="G16" s="1275"/>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6"/>
      <c r="F17" s="1275"/>
      <c r="G17" s="145"/>
      <c r="H17" s="145"/>
      <c r="I17" s="145"/>
      <c r="J17" s="145"/>
      <c r="K17" s="145"/>
      <c r="L17" s="346"/>
      <c r="M17" s="759"/>
      <c r="N17" s="759"/>
      <c r="P17" s="104"/>
      <c r="Q17" s="755"/>
      <c r="R17" s="104"/>
      <c r="S17" s="760"/>
      <c r="T17" s="762" t="s">
        <v>419</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5"/>
      <c r="F18" s="145"/>
      <c r="G18" s="145"/>
      <c r="H18" s="145"/>
      <c r="I18" s="145"/>
      <c r="J18" s="145"/>
      <c r="K18" s="145"/>
      <c r="L18" s="346"/>
      <c r="M18" s="759"/>
      <c r="N18" s="759"/>
      <c r="P18" s="104"/>
      <c r="Q18" s="755"/>
      <c r="R18" s="104"/>
      <c r="S18" s="760"/>
      <c r="T18" s="762" t="s">
        <v>420</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421</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422</v>
      </c>
      <c r="P24" s="830"/>
      <c r="Q24" s="831"/>
      <c r="R24" s="831"/>
      <c r="AA24" s="829" t="s">
        <v>424</v>
      </c>
      <c r="AC24" s="829" t="s">
        <v>425</v>
      </c>
      <c r="AD24" s="829" t="s">
        <v>473</v>
      </c>
      <c r="AH24" s="829" t="s">
        <v>473</v>
      </c>
      <c r="AK24" s="829" t="s">
        <v>510</v>
      </c>
      <c r="AL24" s="829" t="s">
        <v>473</v>
      </c>
      <c r="AP24" s="829" t="s">
        <v>473</v>
      </c>
      <c r="AY24" s="829" t="s">
        <v>424</v>
      </c>
      <c r="BA24" s="829" t="s">
        <v>425</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59"/>
      <c r="BI28" s="11">
        <v>14</v>
      </c>
    </row>
    <row r="29" spans="1:61" ht="14.65" customHeight="1">
      <c r="Q29" s="168"/>
      <c r="R29" s="28"/>
      <c r="S29" s="1229" t="str">
        <f>IF(org=0,"Не определено",org)</f>
        <v>ООО "Инженерные сети"</v>
      </c>
      <c r="T29" s="1229"/>
      <c r="U29" s="1229"/>
      <c r="V29" s="1229"/>
      <c r="W29" s="1229"/>
      <c r="X29" s="1229"/>
      <c r="Y29" s="1229"/>
      <c r="Z29" s="1229"/>
      <c r="AA29" s="1229"/>
      <c r="AB29" s="1229"/>
      <c r="AC29" s="1229"/>
      <c r="AD29" s="1229"/>
      <c r="AE29" s="1229"/>
      <c r="AF29" s="1229"/>
      <c r="AG29" s="1229"/>
      <c r="AH29" s="1229"/>
      <c r="AI29" s="1229"/>
      <c r="AJ29" s="1229"/>
      <c r="AK29" s="1229"/>
      <c r="AL29" s="1229"/>
      <c r="AM29" s="1229"/>
      <c r="AN29" s="1229"/>
      <c r="AO29" s="1229"/>
      <c r="AP29" s="1229"/>
      <c r="AQ29" s="1229"/>
      <c r="AR29" s="1229"/>
      <c r="AS29" s="1229"/>
      <c r="AT29" s="1229"/>
      <c r="AU29" s="1229"/>
      <c r="AV29" s="1229"/>
      <c r="AW29" s="1229"/>
      <c r="AX29" s="1229"/>
      <c r="AY29" s="1229"/>
      <c r="AZ29" s="1229"/>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6" t="s">
        <v>42</v>
      </c>
      <c r="T31" s="1266"/>
      <c r="U31" s="773"/>
      <c r="V31" s="1268" t="str">
        <f>IF(TITLE_NAME_OR_PR_CHANGE="",IF(TITLE_NAME_OR_PR="","",TITLE_NAME_OR_PR),TITLE_NAME_OR_PR_CHANGE)</f>
        <v/>
      </c>
      <c r="W31" s="1268"/>
      <c r="X31" s="1268"/>
      <c r="Y31" s="1268"/>
      <c r="Z31" s="1268"/>
      <c r="AA31" s="1268"/>
      <c r="AB31" s="1268"/>
      <c r="AC31" s="11"/>
      <c r="AD31" s="1268" t="str">
        <f>IF(TITLE_NAME_OR_PR_CHANGE="",IF(TITLE_NAME_OR_PR="","",TITLE_NAME_OR_PR),TITLE_NAME_OR_PR_CHANGE)</f>
        <v/>
      </c>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6" t="s">
        <v>427</v>
      </c>
      <c r="T32" s="1266"/>
      <c r="U32" s="773"/>
      <c r="V32" s="1267" t="str">
        <f>IF(TITLE_DATE_PR_CHANGE="",IF(TITLE_DATE_PR="","",TITLE_DATE_PR),TITLE_DATE_PR_CHANGE)</f>
        <v/>
      </c>
      <c r="W32" s="1267"/>
      <c r="X32" s="1267"/>
      <c r="Y32" s="1267"/>
      <c r="Z32" s="1267"/>
      <c r="AA32" s="1267"/>
      <c r="AB32" s="1267"/>
      <c r="AC32" s="11"/>
      <c r="AD32" s="1267" t="str">
        <f>IF(TITLE_DATE_PR_CHANGE="",IF(TITLE_DATE_PR="","",TITLE_DATE_PR),TITLE_DATE_PR_CHANGE)</f>
        <v/>
      </c>
      <c r="AE32" s="1267"/>
      <c r="AF32" s="1267"/>
      <c r="AG32" s="1267"/>
      <c r="AH32" s="1267"/>
      <c r="AI32" s="1267"/>
      <c r="AJ32" s="1267"/>
      <c r="AK32" s="1267"/>
      <c r="AL32" s="1267"/>
      <c r="AM32" s="1267"/>
      <c r="AN32" s="1267"/>
      <c r="AO32" s="1267"/>
      <c r="AP32" s="1267"/>
      <c r="AQ32" s="1267"/>
      <c r="AR32" s="1267"/>
      <c r="AS32" s="1267"/>
      <c r="AT32" s="1267"/>
      <c r="AU32" s="1267"/>
      <c r="AV32" s="1267"/>
      <c r="AW32" s="1267"/>
      <c r="AX32" s="1267"/>
      <c r="AY32" s="1267"/>
      <c r="AZ32" s="1267"/>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6" t="s">
        <v>428</v>
      </c>
      <c r="T33" s="1266"/>
      <c r="U33" s="773"/>
      <c r="V33" s="1268" t="str">
        <f>IF(TITLE_NUMBER_PR_CHANGE="",IF(TITLE_NUMBER_PR="","",TITLE_NUMBER_PR),TITLE_NUMBER_PR_CHANGE)</f>
        <v/>
      </c>
      <c r="W33" s="1268"/>
      <c r="X33" s="1268"/>
      <c r="Y33" s="1268"/>
      <c r="Z33" s="1268"/>
      <c r="AA33" s="1268"/>
      <c r="AB33" s="1268"/>
      <c r="AC33" s="11"/>
      <c r="AD33" s="1268" t="str">
        <f>IF(TITLE_NUMBER_PR_CHANGE="",IF(TITLE_NUMBER_PR="","",TITLE_NUMBER_PR),TITLE_NUMBER_PR_CHANGE)</f>
        <v/>
      </c>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6" t="s">
        <v>43</v>
      </c>
      <c r="T34" s="1266"/>
      <c r="U34" s="773"/>
      <c r="V34" s="1268" t="str">
        <f>IF(TITLE_IST_PUB_CHANGE="",IF(TITLE_IST_PUB="","",TITLE_IST_PUB),TITLE_IST_PUB_CHANGE)</f>
        <v/>
      </c>
      <c r="W34" s="1268"/>
      <c r="X34" s="1268"/>
      <c r="Y34" s="1268"/>
      <c r="Z34" s="1268"/>
      <c r="AA34" s="1268"/>
      <c r="AB34" s="1268"/>
      <c r="AC34" s="11"/>
      <c r="AD34" s="1268" t="str">
        <f>IF(TITLE_IST_PUB_CHANGE="",IF(TITLE_IST_PUB="","",TITLE_IST_PUB),TITLE_IST_PUB_CHANGE)</f>
        <v/>
      </c>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6" t="s">
        <v>427</v>
      </c>
      <c r="T36" s="1266"/>
      <c r="U36" s="773"/>
      <c r="V36" s="1267" t="str">
        <f>IF(TITLE_DATE_PR_CHANGE="",IF(TITLE_DATE_PR="","",TITLE_DATE_PR),TITLE_DATE_PR_CHANGE)</f>
        <v/>
      </c>
      <c r="W36" s="1267"/>
      <c r="X36" s="1267"/>
      <c r="Y36" s="1267"/>
      <c r="Z36" s="1267"/>
      <c r="AA36" s="1267"/>
      <c r="AB36" s="1267"/>
      <c r="AC36" s="11"/>
      <c r="AD36" s="1267" t="str">
        <f>IF(TITLE_DATE_PR_CHANGE="",IF(TITLE_DATE_PR="","",TITLE_DATE_PR),TITLE_DATE_PR_CHANGE)</f>
        <v/>
      </c>
      <c r="AE36" s="1267"/>
      <c r="AF36" s="1267"/>
      <c r="AG36" s="1267"/>
      <c r="AH36" s="1267"/>
      <c r="AI36" s="1267"/>
      <c r="AJ36" s="1267"/>
      <c r="AK36" s="1267"/>
      <c r="AL36" s="1267"/>
      <c r="AM36" s="1267"/>
      <c r="AN36" s="1267"/>
      <c r="AO36" s="1267"/>
      <c r="AP36" s="1267"/>
      <c r="AQ36" s="1267"/>
      <c r="AR36" s="1267"/>
      <c r="AS36" s="1267"/>
      <c r="AT36" s="1267"/>
      <c r="AU36" s="1267"/>
      <c r="AV36" s="1267"/>
      <c r="AW36" s="1267"/>
      <c r="AX36" s="1267"/>
      <c r="AY36" s="1267"/>
      <c r="AZ36" s="1267"/>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6" t="s">
        <v>428</v>
      </c>
      <c r="T37" s="1266"/>
      <c r="U37" s="773"/>
      <c r="V37" s="1268" t="str">
        <f>IF(TITLE_NUMBER_PR_CHANGE="",IF(TITLE_NUMBER_PR="","",TITLE_NUMBER_PR),TITLE_NUMBER_PR_CHANGE)</f>
        <v/>
      </c>
      <c r="W37" s="1268"/>
      <c r="X37" s="1268"/>
      <c r="Y37" s="1268"/>
      <c r="Z37" s="1268"/>
      <c r="AA37" s="1268"/>
      <c r="AB37" s="1268"/>
      <c r="AC37" s="11"/>
      <c r="AD37" s="1268" t="str">
        <f>IF(TITLE_NUMBER_PR_CHANGE="",IF(TITLE_NUMBER_PR="","",TITLE_NUMBER_PR),TITLE_NUMBER_PR_CHANGE)</f>
        <v/>
      </c>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431</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431</v>
      </c>
      <c r="BD38" s="69"/>
      <c r="BE38" s="69"/>
      <c r="BF38" s="69"/>
      <c r="BG38" s="69"/>
      <c r="BH38" s="69"/>
      <c r="BI38" s="35">
        <v>0</v>
      </c>
    </row>
    <row r="39" spans="1:61" ht="14.65" customHeight="1">
      <c r="Q39" s="168"/>
      <c r="R39" s="28"/>
      <c r="S39" s="739"/>
      <c r="T39" s="10"/>
      <c r="U39" s="720"/>
      <c r="V39" s="1287"/>
      <c r="W39" s="1287"/>
      <c r="X39" s="1287"/>
      <c r="Y39" s="1287"/>
      <c r="Z39" s="1287"/>
      <c r="AA39" s="1287"/>
      <c r="AB39" s="1287"/>
      <c r="AC39" s="1287"/>
      <c r="AD39" s="1287"/>
      <c r="AE39" s="1287"/>
      <c r="AF39" s="1287"/>
      <c r="AG39" s="1287"/>
      <c r="AH39" s="1287"/>
      <c r="AI39" s="1287"/>
      <c r="AJ39" s="1287"/>
      <c r="AK39" s="1287"/>
      <c r="AL39" s="1287"/>
      <c r="AM39" s="1287"/>
      <c r="AN39" s="1287"/>
      <c r="AO39" s="1287"/>
      <c r="AP39" s="1287"/>
      <c r="AQ39" s="1287"/>
      <c r="AR39" s="1287"/>
      <c r="AS39" s="1287"/>
      <c r="AT39" s="1287"/>
      <c r="AU39" s="1287"/>
      <c r="AV39" s="1287"/>
      <c r="AW39" s="1287"/>
      <c r="AX39" s="1287"/>
      <c r="AY39" s="1287"/>
      <c r="AZ39" s="1287"/>
      <c r="BA39" s="1287"/>
      <c r="BI39" s="11">
        <v>14</v>
      </c>
    </row>
    <row r="40" spans="1:61" ht="14.65" customHeight="1">
      <c r="Q40" s="168"/>
      <c r="R40" s="28"/>
      <c r="S40" s="1148" t="s">
        <v>304</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305</v>
      </c>
      <c r="BI40" s="11">
        <v>14</v>
      </c>
    </row>
    <row r="41" spans="1:61" ht="14.65" customHeight="1">
      <c r="Q41" s="168"/>
      <c r="R41" s="28"/>
      <c r="S41" s="1288" t="s">
        <v>88</v>
      </c>
      <c r="T41" s="1237" t="s">
        <v>511</v>
      </c>
      <c r="U41" s="172"/>
      <c r="V41" s="1289" t="s">
        <v>433</v>
      </c>
      <c r="W41" s="1290"/>
      <c r="X41" s="1290"/>
      <c r="Y41" s="1290"/>
      <c r="Z41" s="1290"/>
      <c r="AA41" s="1290"/>
      <c r="AB41" s="1291"/>
      <c r="AC41" s="1292" t="s">
        <v>434</v>
      </c>
      <c r="AD41" s="1321" t="s">
        <v>528</v>
      </c>
      <c r="AE41" s="1305"/>
      <c r="AF41" s="1305"/>
      <c r="AG41" s="1322"/>
      <c r="AH41" s="1321" t="s">
        <v>529</v>
      </c>
      <c r="AI41" s="1305"/>
      <c r="AJ41" s="1305"/>
      <c r="AK41" s="1322"/>
      <c r="AL41" s="1321" t="s">
        <v>530</v>
      </c>
      <c r="AM41" s="1305"/>
      <c r="AN41" s="1305"/>
      <c r="AO41" s="1322"/>
      <c r="AP41" s="1321" t="s">
        <v>515</v>
      </c>
      <c r="AQ41" s="1305"/>
      <c r="AR41" s="1305"/>
      <c r="AS41" s="1322"/>
      <c r="AT41" s="1289" t="s">
        <v>433</v>
      </c>
      <c r="AU41" s="1290"/>
      <c r="AV41" s="1290"/>
      <c r="AW41" s="1290"/>
      <c r="AX41" s="1290"/>
      <c r="AY41" s="1290"/>
      <c r="AZ41" s="1291"/>
      <c r="BA41" s="1292" t="s">
        <v>434</v>
      </c>
      <c r="BB41" s="1295" t="s">
        <v>436</v>
      </c>
      <c r="BC41" s="1148"/>
      <c r="BI41" s="11">
        <v>14</v>
      </c>
    </row>
    <row r="42" spans="1:61" ht="35.65" customHeight="1">
      <c r="Q42" s="168"/>
      <c r="R42" s="28"/>
      <c r="S42" s="1288"/>
      <c r="T42" s="1237"/>
      <c r="U42" s="607"/>
      <c r="V42" s="1208" t="s">
        <v>516</v>
      </c>
      <c r="W42" s="1209"/>
      <c r="X42" s="1208" t="s">
        <v>517</v>
      </c>
      <c r="Y42" s="1209"/>
      <c r="Z42" s="1208" t="s">
        <v>518</v>
      </c>
      <c r="AA42" s="1317"/>
      <c r="AB42" s="1209"/>
      <c r="AC42" s="1293"/>
      <c r="AD42" s="1323"/>
      <c r="AE42" s="1324"/>
      <c r="AF42" s="1324"/>
      <c r="AG42" s="1336"/>
      <c r="AH42" s="1323"/>
      <c r="AI42" s="1324"/>
      <c r="AJ42" s="1324"/>
      <c r="AK42" s="1336"/>
      <c r="AL42" s="1323"/>
      <c r="AM42" s="1324"/>
      <c r="AN42" s="1324"/>
      <c r="AO42" s="1336"/>
      <c r="AP42" s="1323"/>
      <c r="AQ42" s="1324"/>
      <c r="AR42" s="1324"/>
      <c r="AS42" s="1336"/>
      <c r="AT42" s="1208" t="s">
        <v>531</v>
      </c>
      <c r="AU42" s="1209"/>
      <c r="AV42" s="1208" t="s">
        <v>532</v>
      </c>
      <c r="AW42" s="1209"/>
      <c r="AX42" s="1208" t="s">
        <v>518</v>
      </c>
      <c r="AY42" s="1317"/>
      <c r="AZ42" s="1209"/>
      <c r="BA42" s="1293"/>
      <c r="BB42" s="1296"/>
      <c r="BC42" s="1148"/>
      <c r="BI42" s="11">
        <v>34</v>
      </c>
    </row>
    <row r="43" spans="1:61" ht="14.65" customHeight="1">
      <c r="Q43" s="168"/>
      <c r="R43" s="28"/>
      <c r="S43" s="1288"/>
      <c r="T43" s="1237"/>
      <c r="U43" s="607"/>
      <c r="V43" s="1213"/>
      <c r="W43" s="1214"/>
      <c r="X43" s="1213"/>
      <c r="Y43" s="1214"/>
      <c r="Z43" s="1213"/>
      <c r="AA43" s="1318"/>
      <c r="AB43" s="1214"/>
      <c r="AC43" s="1293"/>
      <c r="AD43" s="1323"/>
      <c r="AE43" s="1324"/>
      <c r="AF43" s="1324"/>
      <c r="AG43" s="1336"/>
      <c r="AH43" s="1323"/>
      <c r="AI43" s="1324"/>
      <c r="AJ43" s="1324"/>
      <c r="AK43" s="1336"/>
      <c r="AL43" s="1323"/>
      <c r="AM43" s="1324"/>
      <c r="AN43" s="1324"/>
      <c r="AO43" s="1336"/>
      <c r="AP43" s="1323"/>
      <c r="AQ43" s="1324"/>
      <c r="AR43" s="1324"/>
      <c r="AS43" s="1336"/>
      <c r="AT43" s="1213"/>
      <c r="AU43" s="1214"/>
      <c r="AV43" s="1213"/>
      <c r="AW43" s="1214"/>
      <c r="AX43" s="1213"/>
      <c r="AY43" s="1318"/>
      <c r="AZ43" s="1214"/>
      <c r="BA43" s="1293"/>
      <c r="BB43" s="1296"/>
      <c r="BC43" s="1148"/>
      <c r="BI43" s="11">
        <v>14</v>
      </c>
    </row>
    <row r="44" spans="1:61" ht="14.65" customHeight="1">
      <c r="A44" s="82"/>
      <c r="B44" s="82" t="s">
        <v>141</v>
      </c>
      <c r="C44" s="82" t="s">
        <v>142</v>
      </c>
      <c r="D44" s="82" t="s">
        <v>143</v>
      </c>
      <c r="E44" s="770" t="s">
        <v>441</v>
      </c>
      <c r="F44" s="770" t="s">
        <v>442</v>
      </c>
      <c r="G44" s="770" t="s">
        <v>443</v>
      </c>
      <c r="H44" s="770" t="s">
        <v>444</v>
      </c>
      <c r="I44" s="770" t="s">
        <v>445</v>
      </c>
      <c r="J44" s="770" t="s">
        <v>446</v>
      </c>
      <c r="K44" s="770" t="s">
        <v>447</v>
      </c>
      <c r="L44" s="770" t="s">
        <v>422</v>
      </c>
      <c r="Q44" s="168"/>
      <c r="R44" s="28"/>
      <c r="S44" s="1288"/>
      <c r="T44" s="1237"/>
      <c r="U44" s="173"/>
      <c r="V44" s="36" t="s">
        <v>482</v>
      </c>
      <c r="W44" s="36" t="s">
        <v>483</v>
      </c>
      <c r="X44" s="36" t="s">
        <v>482</v>
      </c>
      <c r="Y44" s="36" t="s">
        <v>483</v>
      </c>
      <c r="Z44" s="39" t="s">
        <v>450</v>
      </c>
      <c r="AA44" s="1242" t="s">
        <v>451</v>
      </c>
      <c r="AB44" s="1255"/>
      <c r="AC44" s="1294"/>
      <c r="AD44" s="1325"/>
      <c r="AE44" s="1326"/>
      <c r="AF44" s="1326"/>
      <c r="AG44" s="1327"/>
      <c r="AH44" s="1325"/>
      <c r="AI44" s="1326"/>
      <c r="AJ44" s="1326"/>
      <c r="AK44" s="1327"/>
      <c r="AL44" s="1325"/>
      <c r="AM44" s="1326"/>
      <c r="AN44" s="1326"/>
      <c r="AO44" s="1327"/>
      <c r="AP44" s="1325"/>
      <c r="AQ44" s="1326"/>
      <c r="AR44" s="1326"/>
      <c r="AS44" s="1327"/>
      <c r="AT44" s="36" t="s">
        <v>482</v>
      </c>
      <c r="AU44" s="36" t="s">
        <v>483</v>
      </c>
      <c r="AV44" s="36" t="s">
        <v>482</v>
      </c>
      <c r="AW44" s="36" t="s">
        <v>483</v>
      </c>
      <c r="AX44" s="39" t="s">
        <v>450</v>
      </c>
      <c r="AY44" s="1242" t="s">
        <v>451</v>
      </c>
      <c r="AZ44" s="1255"/>
      <c r="BA44" s="1294"/>
      <c r="BB44" s="1297"/>
      <c r="BC44" s="1148"/>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115</v>
      </c>
      <c r="T45" s="726" t="s">
        <v>103</v>
      </c>
      <c r="U45" s="721" t="str">
        <f ca="1">OFFSET(U45,0,-1)</f>
        <v>2</v>
      </c>
      <c r="V45" s="727">
        <f t="shared" ref="V45:AA45" ca="1" si="2">OFFSET(V45,0,-1)+1</f>
        <v>3</v>
      </c>
      <c r="W45" s="727">
        <f t="shared" ca="1" si="2"/>
        <v>4</v>
      </c>
      <c r="X45" s="727">
        <f t="shared" ca="1" si="2"/>
        <v>5</v>
      </c>
      <c r="Y45" s="727">
        <f t="shared" ca="1" si="2"/>
        <v>6</v>
      </c>
      <c r="Z45" s="727">
        <f t="shared" ca="1" si="2"/>
        <v>7</v>
      </c>
      <c r="AA45" s="1286">
        <f t="shared" ca="1" si="2"/>
        <v>8</v>
      </c>
      <c r="AB45" s="1286"/>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6">
        <f ca="1">OFFSET(AY45,0,-1)+1</f>
        <v>3</v>
      </c>
      <c r="AZ45" s="1286"/>
      <c r="BA45" s="727">
        <f ca="1">OFFSET(BA45,0,-2)+1</f>
        <v>4</v>
      </c>
      <c r="BB45" s="721">
        <f ca="1">OFFSET(BB45,0,-1)</f>
        <v>4</v>
      </c>
      <c r="BC45" s="727">
        <f ca="1">OFFSET(BC45,0,-1)+1</f>
        <v>5</v>
      </c>
      <c r="BD45" s="68"/>
      <c r="BE45" s="68"/>
      <c r="BF45" s="68"/>
      <c r="BG45" s="68"/>
      <c r="BH45" s="68"/>
      <c r="BI45" s="203">
        <v>0</v>
      </c>
    </row>
    <row r="46" spans="1:61" ht="21.95" customHeight="1">
      <c r="A46" s="769" t="s">
        <v>280</v>
      </c>
      <c r="B46" s="769"/>
      <c r="C46" s="769"/>
      <c r="D46" s="769"/>
      <c r="E46" s="1275">
        <v>1</v>
      </c>
      <c r="F46" s="769"/>
      <c r="G46" s="769"/>
      <c r="H46" s="769"/>
      <c r="I46" s="769"/>
      <c r="J46" s="769"/>
      <c r="K46" s="769"/>
      <c r="L46" s="770"/>
      <c r="M46" s="426"/>
      <c r="N46" s="426"/>
      <c r="O46" s="426"/>
      <c r="Q46" s="62"/>
      <c r="R46" s="207"/>
      <c r="S46" s="709">
        <f>INDEX(PT_DIFFERENTIATION_NUM_NTAR,MATCH(A46,PT_DIFFERENTIATION_NTAR_ID,0))</f>
        <v>0</v>
      </c>
      <c r="T46" s="67" t="s">
        <v>129</v>
      </c>
      <c r="U46" s="171"/>
      <c r="V46" s="1270"/>
      <c r="W46" s="1270"/>
      <c r="X46" s="1270"/>
      <c r="Y46" s="1270"/>
      <c r="Z46" s="1270"/>
      <c r="AA46" s="1270"/>
      <c r="AB46" s="1270"/>
      <c r="AC46" s="1271"/>
      <c r="AD46" s="1269" t="str">
        <f>INDEX(PT_DIFFERENTIATION_NTAR,MATCH(A46,PT_DIFFERENTIATION_NTAR_ID,0))</f>
        <v/>
      </c>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1"/>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280</v>
      </c>
      <c r="B47" s="769" t="s">
        <v>281</v>
      </c>
      <c r="C47" s="769"/>
      <c r="D47" s="769"/>
      <c r="E47" s="1276"/>
      <c r="F47" s="1275">
        <v>1</v>
      </c>
      <c r="G47" s="769"/>
      <c r="H47" s="769"/>
      <c r="I47" s="769"/>
      <c r="J47" s="769"/>
      <c r="K47" s="769"/>
      <c r="L47" s="770"/>
      <c r="M47" s="426"/>
      <c r="N47" s="426"/>
      <c r="O47" s="426"/>
      <c r="P47" s="301"/>
      <c r="Q47" s="802"/>
      <c r="R47" s="205"/>
      <c r="S47" s="709" t="str">
        <f>INDEX(PT_DIFFERENTIATION_NUM_TER,MATCH(B47,PT_DIFFERENTIATION_TER_ID,0))</f>
        <v>.</v>
      </c>
      <c r="T47" s="177" t="s">
        <v>401</v>
      </c>
      <c r="U47" s="171"/>
      <c r="V47" s="1270"/>
      <c r="W47" s="1270"/>
      <c r="X47" s="1270"/>
      <c r="Y47" s="1270"/>
      <c r="Z47" s="1270"/>
      <c r="AA47" s="1270"/>
      <c r="AB47" s="1270"/>
      <c r="AC47" s="1271"/>
      <c r="AD47" s="1269" t="str">
        <f>INDEX(PT_DIFFERENTIATION_TER,MATCH(B47,PT_DIFFERENTIATION_TER_ID,0))</f>
        <v/>
      </c>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1"/>
      <c r="BC47" s="729" t="s">
        <v>402</v>
      </c>
      <c r="BE47" s="69"/>
      <c r="BF47" s="69" t="str">
        <f t="shared" si="3"/>
        <v>Территория действия тарифа</v>
      </c>
      <c r="BG47" s="69"/>
      <c r="BH47" s="69"/>
      <c r="BI47" s="11">
        <v>21</v>
      </c>
    </row>
    <row r="48" spans="1:61" ht="35.65" customHeight="1">
      <c r="A48" s="769" t="s">
        <v>280</v>
      </c>
      <c r="B48" s="769" t="s">
        <v>281</v>
      </c>
      <c r="C48" s="769" t="s">
        <v>282</v>
      </c>
      <c r="D48" s="769"/>
      <c r="E48" s="1276"/>
      <c r="F48" s="1276"/>
      <c r="G48" s="1275">
        <v>1</v>
      </c>
      <c r="H48" s="769"/>
      <c r="I48" s="769"/>
      <c r="J48" s="769"/>
      <c r="K48" s="769"/>
      <c r="L48" s="770"/>
      <c r="M48" s="426"/>
      <c r="N48" s="426"/>
      <c r="O48" s="426"/>
      <c r="P48" s="131"/>
      <c r="Q48" s="802"/>
      <c r="R48" s="205"/>
      <c r="S48" s="709" t="str">
        <f>INDEX(PT_DIFFERENTIATION_NUM_CS,MATCH(C48,PT_DIFFERENTIATION_CS_ID,0))</f>
        <v>..</v>
      </c>
      <c r="T48" s="178" t="s">
        <v>520</v>
      </c>
      <c r="U48" s="171"/>
      <c r="V48" s="1270"/>
      <c r="W48" s="1270"/>
      <c r="X48" s="1270"/>
      <c r="Y48" s="1270"/>
      <c r="Z48" s="1270"/>
      <c r="AA48" s="1270"/>
      <c r="AB48" s="1270"/>
      <c r="AC48" s="1271"/>
      <c r="AD48" s="1269" t="str">
        <f>INDEX(PT_DIFFERENTIATION_CS,MATCH(C48,PT_DIFFERENTIATION_CS_ID,0))</f>
        <v/>
      </c>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1"/>
      <c r="BC48" s="729" t="s">
        <v>521</v>
      </c>
      <c r="BE48" s="69"/>
      <c r="BF48" s="69" t="str">
        <f t="shared" si="3"/>
        <v>Наименование централизованной системы водоотведения</v>
      </c>
      <c r="BG48" s="69"/>
      <c r="BH48" s="69"/>
      <c r="BI48" s="11">
        <v>34</v>
      </c>
    </row>
    <row r="49" spans="1:61" s="68" customFormat="1" ht="0" hidden="1" customHeight="1">
      <c r="A49" s="145" t="s">
        <v>280</v>
      </c>
      <c r="B49" s="145" t="s">
        <v>281</v>
      </c>
      <c r="C49" s="145" t="s">
        <v>282</v>
      </c>
      <c r="D49" s="145" t="s">
        <v>533</v>
      </c>
      <c r="E49" s="1276"/>
      <c r="F49" s="1276"/>
      <c r="G49" s="1276"/>
      <c r="H49" s="1275">
        <v>1</v>
      </c>
      <c r="I49" s="145"/>
      <c r="J49" s="145"/>
      <c r="K49" s="145"/>
      <c r="L49" s="346"/>
      <c r="M49" s="293"/>
      <c r="N49" s="293"/>
      <c r="O49" s="293"/>
      <c r="P49" s="820"/>
      <c r="Q49" s="821"/>
      <c r="R49" s="209"/>
      <c r="S49" s="362"/>
      <c r="T49" s="822"/>
      <c r="U49" s="780"/>
      <c r="V49" s="1307"/>
      <c r="W49" s="1307"/>
      <c r="X49" s="1307"/>
      <c r="Y49" s="1307"/>
      <c r="Z49" s="1307"/>
      <c r="AA49" s="1307"/>
      <c r="AB49" s="1307"/>
      <c r="AC49" s="1308"/>
      <c r="AD49" s="1306"/>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8"/>
      <c r="BC49" s="781" t="s">
        <v>406</v>
      </c>
      <c r="BE49" s="69"/>
      <c r="BF49" s="69" t="str">
        <f t="shared" si="3"/>
        <v/>
      </c>
      <c r="BG49" s="69"/>
      <c r="BH49" s="69"/>
      <c r="BI49" s="68">
        <v>0</v>
      </c>
    </row>
    <row r="50" spans="1:61" s="68" customFormat="1" ht="0" hidden="1" customHeight="1">
      <c r="A50" s="145" t="s">
        <v>280</v>
      </c>
      <c r="B50" s="145" t="s">
        <v>281</v>
      </c>
      <c r="C50" s="145" t="s">
        <v>282</v>
      </c>
      <c r="D50" s="145" t="s">
        <v>533</v>
      </c>
      <c r="E50" s="1276"/>
      <c r="F50" s="1276"/>
      <c r="G50" s="1276"/>
      <c r="H50" s="1276"/>
      <c r="I50" s="1277" t="str">
        <f>S49&amp;".1"</f>
        <v>.1</v>
      </c>
      <c r="J50" s="145"/>
      <c r="K50" s="145"/>
      <c r="L50" s="346" t="s">
        <v>407</v>
      </c>
      <c r="M50" s="290"/>
      <c r="N50" s="290"/>
      <c r="O50" s="290"/>
      <c r="P50" s="1279">
        <v>1</v>
      </c>
      <c r="Q50" s="122"/>
      <c r="R50" s="208"/>
      <c r="S50" s="362"/>
      <c r="T50" s="779"/>
      <c r="U50" s="780"/>
      <c r="V50" s="1307"/>
      <c r="W50" s="1307"/>
      <c r="X50" s="1307"/>
      <c r="Y50" s="1307"/>
      <c r="Z50" s="1307"/>
      <c r="AA50" s="1307"/>
      <c r="AB50" s="1307"/>
      <c r="AC50" s="1308"/>
      <c r="AD50" s="1306"/>
      <c r="AE50" s="1307"/>
      <c r="AF50" s="1307"/>
      <c r="AG50" s="1307"/>
      <c r="AH50" s="1307"/>
      <c r="AI50" s="1307"/>
      <c r="AJ50" s="1307"/>
      <c r="AK50" s="1307"/>
      <c r="AL50" s="1307"/>
      <c r="AM50" s="1307"/>
      <c r="AN50" s="1307"/>
      <c r="AO50" s="1307"/>
      <c r="AP50" s="1307"/>
      <c r="AQ50" s="1307"/>
      <c r="AR50" s="1307"/>
      <c r="AS50" s="1307"/>
      <c r="AT50" s="1307"/>
      <c r="AU50" s="1307"/>
      <c r="AV50" s="1307"/>
      <c r="AW50" s="1307"/>
      <c r="AX50" s="1307"/>
      <c r="AY50" s="1307"/>
      <c r="AZ50" s="1307"/>
      <c r="BA50" s="1307"/>
      <c r="BB50" s="1308"/>
      <c r="BC50" s="781"/>
      <c r="BE50" s="69"/>
      <c r="BF50" s="69" t="str">
        <f t="shared" si="3"/>
        <v/>
      </c>
      <c r="BG50" s="69"/>
      <c r="BH50" s="69"/>
      <c r="BI50" s="68">
        <v>0</v>
      </c>
    </row>
    <row r="51" spans="1:61" s="68" customFormat="1" ht="0" hidden="1" customHeight="1">
      <c r="A51" s="145" t="s">
        <v>280</v>
      </c>
      <c r="B51" s="145" t="s">
        <v>281</v>
      </c>
      <c r="C51" s="145" t="s">
        <v>282</v>
      </c>
      <c r="D51" s="145" t="s">
        <v>533</v>
      </c>
      <c r="E51" s="1276"/>
      <c r="F51" s="1276"/>
      <c r="G51" s="1276"/>
      <c r="H51" s="1276"/>
      <c r="I51" s="1278"/>
      <c r="J51" s="1277" t="str">
        <f>S49&amp;".1"</f>
        <v>.1</v>
      </c>
      <c r="K51" s="145"/>
      <c r="L51" s="346"/>
      <c r="M51" s="290"/>
      <c r="N51" s="290"/>
      <c r="O51" s="290"/>
      <c r="P51" s="1279"/>
      <c r="Q51" s="1279">
        <v>1</v>
      </c>
      <c r="R51" s="209"/>
      <c r="S51" s="362"/>
      <c r="T51" s="794"/>
      <c r="U51" s="780"/>
      <c r="V51" s="1307"/>
      <c r="W51" s="1307"/>
      <c r="X51" s="1307"/>
      <c r="Y51" s="1307"/>
      <c r="Z51" s="1307"/>
      <c r="AA51" s="1307"/>
      <c r="AB51" s="1307"/>
      <c r="AC51" s="1308"/>
      <c r="AD51" s="1306"/>
      <c r="AE51" s="1307"/>
      <c r="AF51" s="1307"/>
      <c r="AG51" s="1307"/>
      <c r="AH51" s="1307"/>
      <c r="AI51" s="1307"/>
      <c r="AJ51" s="1307"/>
      <c r="AK51" s="1307"/>
      <c r="AL51" s="1307"/>
      <c r="AM51" s="1307"/>
      <c r="AN51" s="1358"/>
      <c r="AO51" s="1358"/>
      <c r="AP51" s="1307"/>
      <c r="AQ51" s="1307"/>
      <c r="AR51" s="1307"/>
      <c r="AS51" s="1307"/>
      <c r="AT51" s="1307"/>
      <c r="AU51" s="1307"/>
      <c r="AV51" s="1307"/>
      <c r="AW51" s="1307"/>
      <c r="AX51" s="1307"/>
      <c r="AY51" s="1307"/>
      <c r="AZ51" s="1307"/>
      <c r="BA51" s="1307"/>
      <c r="BB51" s="1308"/>
      <c r="BC51" s="781"/>
      <c r="BE51" s="69"/>
      <c r="BF51" s="69" t="str">
        <f t="shared" si="3"/>
        <v/>
      </c>
      <c r="BG51" s="69"/>
      <c r="BH51" s="69"/>
      <c r="BI51" s="68">
        <v>0</v>
      </c>
    </row>
    <row r="52" spans="1:61" ht="11.45" customHeight="1">
      <c r="A52" s="769" t="s">
        <v>280</v>
      </c>
      <c r="B52" s="769" t="s">
        <v>281</v>
      </c>
      <c r="C52" s="769" t="s">
        <v>282</v>
      </c>
      <c r="D52" s="769" t="s">
        <v>533</v>
      </c>
      <c r="E52" s="1276"/>
      <c r="F52" s="1276"/>
      <c r="G52" s="1276"/>
      <c r="H52" s="1276"/>
      <c r="I52" s="1278"/>
      <c r="J52" s="1278"/>
      <c r="K52" s="1277" t="str">
        <f>S48&amp;".1"</f>
        <v>...1</v>
      </c>
      <c r="L52" s="770"/>
      <c r="P52" s="1279"/>
      <c r="Q52" s="1279"/>
      <c r="R52" s="209">
        <v>1</v>
      </c>
      <c r="S52" s="1332" t="str">
        <f>$K52</f>
        <v>...1</v>
      </c>
      <c r="T52" s="1352"/>
      <c r="U52" s="171"/>
      <c r="V52" s="306"/>
      <c r="W52" s="728"/>
      <c r="X52" s="306"/>
      <c r="Y52" s="728"/>
      <c r="Z52" s="943"/>
      <c r="AA52" s="297" t="s">
        <v>66</v>
      </c>
      <c r="AB52" s="943"/>
      <c r="AC52" s="297" t="s">
        <v>66</v>
      </c>
      <c r="AD52" s="1220" t="s">
        <v>66</v>
      </c>
      <c r="AE52" s="1328"/>
      <c r="AF52" s="1233">
        <v>1</v>
      </c>
      <c r="AG52" s="1351"/>
      <c r="AH52" s="1158" t="s">
        <v>66</v>
      </c>
      <c r="AI52" s="1328"/>
      <c r="AJ52" s="1233">
        <v>1</v>
      </c>
      <c r="AK52" s="1342" t="s">
        <v>22</v>
      </c>
      <c r="AL52" s="1158" t="s">
        <v>66</v>
      </c>
      <c r="AM52" s="1208"/>
      <c r="AN52" s="1233">
        <v>1</v>
      </c>
      <c r="AO52" s="1355"/>
      <c r="AP52" s="1356" t="s">
        <v>66</v>
      </c>
      <c r="AQ52" s="180"/>
      <c r="AR52" s="268">
        <v>1</v>
      </c>
      <c r="AS52" s="119" t="s">
        <v>22</v>
      </c>
      <c r="AT52" s="306"/>
      <c r="AU52" s="728"/>
      <c r="AV52" s="306"/>
      <c r="AW52" s="728"/>
      <c r="AX52" s="943"/>
      <c r="AY52" s="297" t="s">
        <v>66</v>
      </c>
      <c r="AZ52" s="943"/>
      <c r="BA52" s="297" t="s">
        <v>66</v>
      </c>
      <c r="BB52" s="766"/>
      <c r="BC52" s="1298" t="s">
        <v>505</v>
      </c>
      <c r="BE52" s="69"/>
      <c r="BF52" s="69" t="str">
        <f t="shared" si="3"/>
        <v/>
      </c>
      <c r="BG52" s="69"/>
      <c r="BH52" s="69"/>
      <c r="BI52" s="11">
        <v>11</v>
      </c>
    </row>
    <row r="53" spans="1:61" ht="11.45" customHeight="1">
      <c r="A53" s="769"/>
      <c r="B53" s="769"/>
      <c r="C53" s="769"/>
      <c r="D53" s="769"/>
      <c r="E53" s="1276"/>
      <c r="F53" s="1276"/>
      <c r="G53" s="1276"/>
      <c r="H53" s="1276"/>
      <c r="I53" s="1278"/>
      <c r="J53" s="1278"/>
      <c r="K53" s="1277"/>
      <c r="L53" s="770"/>
      <c r="P53" s="1279"/>
      <c r="Q53" s="1279"/>
      <c r="R53" s="209"/>
      <c r="S53" s="1333"/>
      <c r="T53" s="1353"/>
      <c r="U53" s="171"/>
      <c r="V53" s="789"/>
      <c r="W53" s="819"/>
      <c r="X53" s="789"/>
      <c r="Y53" s="819"/>
      <c r="Z53" s="789"/>
      <c r="AA53" s="789"/>
      <c r="AB53" s="789"/>
      <c r="AC53" s="789"/>
      <c r="AD53" s="1221"/>
      <c r="AE53" s="1328"/>
      <c r="AF53" s="1233"/>
      <c r="AG53" s="1351"/>
      <c r="AH53" s="1158"/>
      <c r="AI53" s="1328"/>
      <c r="AJ53" s="1233"/>
      <c r="AK53" s="1342"/>
      <c r="AL53" s="1158"/>
      <c r="AM53" s="1213"/>
      <c r="AN53" s="1233"/>
      <c r="AO53" s="1355"/>
      <c r="AP53" s="1357"/>
      <c r="AQ53" s="184"/>
      <c r="AR53" s="52"/>
      <c r="AS53" s="52" t="s">
        <v>506</v>
      </c>
      <c r="AT53" s="789"/>
      <c r="AU53" s="819"/>
      <c r="AV53" s="789"/>
      <c r="AW53" s="819"/>
      <c r="AX53" s="789"/>
      <c r="AY53" s="789"/>
      <c r="AZ53" s="789"/>
      <c r="BA53" s="789"/>
      <c r="BB53" s="793"/>
      <c r="BC53" s="1299"/>
      <c r="BE53" s="69"/>
      <c r="BF53" s="69"/>
      <c r="BG53" s="69"/>
      <c r="BH53" s="69"/>
      <c r="BI53" s="11">
        <v>11</v>
      </c>
    </row>
    <row r="54" spans="1:61" ht="11.45" customHeight="1">
      <c r="A54" s="769" t="s">
        <v>280</v>
      </c>
      <c r="B54" s="769"/>
      <c r="C54" s="769"/>
      <c r="D54" s="769"/>
      <c r="E54" s="1276"/>
      <c r="F54" s="1276"/>
      <c r="G54" s="1276"/>
      <c r="H54" s="1276"/>
      <c r="I54" s="1278"/>
      <c r="J54" s="1278"/>
      <c r="K54" s="1277"/>
      <c r="L54" s="770"/>
      <c r="P54" s="1279"/>
      <c r="Q54" s="1279"/>
      <c r="R54" s="209"/>
      <c r="S54" s="1333"/>
      <c r="T54" s="1353"/>
      <c r="U54" s="171"/>
      <c r="V54" s="789"/>
      <c r="W54" s="819"/>
      <c r="X54" s="789"/>
      <c r="Y54" s="819"/>
      <c r="Z54" s="789"/>
      <c r="AA54" s="789"/>
      <c r="AB54" s="789"/>
      <c r="AC54" s="789"/>
      <c r="AD54" s="1221"/>
      <c r="AE54" s="1328"/>
      <c r="AF54" s="1233"/>
      <c r="AG54" s="1351"/>
      <c r="AH54" s="1158"/>
      <c r="AI54" s="1328"/>
      <c r="AJ54" s="1233"/>
      <c r="AK54" s="1342"/>
      <c r="AL54" s="1158"/>
      <c r="AM54" s="184"/>
      <c r="AN54" s="823"/>
      <c r="AO54" s="823" t="s">
        <v>526</v>
      </c>
      <c r="AP54" s="52"/>
      <c r="AQ54" s="52"/>
      <c r="AR54" s="52"/>
      <c r="AS54" s="789"/>
      <c r="AT54" s="789"/>
      <c r="AU54" s="819"/>
      <c r="AV54" s="789"/>
      <c r="AW54" s="819"/>
      <c r="AX54" s="789"/>
      <c r="AY54" s="789"/>
      <c r="AZ54" s="789"/>
      <c r="BA54" s="789"/>
      <c r="BB54" s="793"/>
      <c r="BC54" s="1299"/>
      <c r="BE54" s="69"/>
      <c r="BF54" s="69"/>
      <c r="BG54" s="69"/>
      <c r="BH54" s="69"/>
      <c r="BI54" s="11">
        <v>11</v>
      </c>
    </row>
    <row r="55" spans="1:61" ht="11.45" customHeight="1">
      <c r="A55" s="769" t="s">
        <v>280</v>
      </c>
      <c r="B55" s="769"/>
      <c r="C55" s="769"/>
      <c r="D55" s="769"/>
      <c r="E55" s="1276"/>
      <c r="F55" s="1276"/>
      <c r="G55" s="1276"/>
      <c r="H55" s="1276"/>
      <c r="I55" s="1278"/>
      <c r="J55" s="1278"/>
      <c r="K55" s="1277"/>
      <c r="L55" s="770"/>
      <c r="P55" s="1279"/>
      <c r="Q55" s="1279"/>
      <c r="R55" s="209"/>
      <c r="S55" s="1333"/>
      <c r="T55" s="1353"/>
      <c r="U55" s="171"/>
      <c r="V55" s="789"/>
      <c r="W55" s="819"/>
      <c r="X55" s="789"/>
      <c r="Y55" s="819"/>
      <c r="Z55" s="789"/>
      <c r="AA55" s="789"/>
      <c r="AB55" s="789"/>
      <c r="AC55" s="789"/>
      <c r="AD55" s="1221"/>
      <c r="AE55" s="1328"/>
      <c r="AF55" s="1233"/>
      <c r="AG55" s="1351"/>
      <c r="AH55" s="1158"/>
      <c r="AI55" s="169"/>
      <c r="AJ55" s="110"/>
      <c r="AK55" s="182" t="s">
        <v>527</v>
      </c>
      <c r="AL55" s="789"/>
      <c r="AM55" s="789"/>
      <c r="AN55" s="789"/>
      <c r="AO55" s="789"/>
      <c r="AP55" s="789"/>
      <c r="AQ55" s="789"/>
      <c r="AR55" s="789"/>
      <c r="AS55" s="789"/>
      <c r="AT55" s="789"/>
      <c r="AU55" s="819"/>
      <c r="AV55" s="789"/>
      <c r="AW55" s="819"/>
      <c r="AX55" s="789"/>
      <c r="AY55" s="789"/>
      <c r="AZ55" s="789"/>
      <c r="BA55" s="789"/>
      <c r="BB55" s="793"/>
      <c r="BC55" s="1299"/>
      <c r="BE55" s="69"/>
      <c r="BF55" s="69"/>
      <c r="BG55" s="69"/>
      <c r="BH55" s="69"/>
      <c r="BI55" s="11">
        <v>11</v>
      </c>
    </row>
    <row r="56" spans="1:61" ht="11.45" customHeight="1">
      <c r="A56" s="769" t="s">
        <v>280</v>
      </c>
      <c r="B56" s="769" t="s">
        <v>281</v>
      </c>
      <c r="C56" s="769" t="s">
        <v>282</v>
      </c>
      <c r="D56" s="769" t="s">
        <v>533</v>
      </c>
      <c r="E56" s="1276"/>
      <c r="F56" s="1276"/>
      <c r="G56" s="1276"/>
      <c r="H56" s="1276"/>
      <c r="I56" s="1278"/>
      <c r="J56" s="1278"/>
      <c r="K56" s="1277"/>
      <c r="L56" s="770"/>
      <c r="P56" s="1279"/>
      <c r="Q56" s="1279"/>
      <c r="R56" s="209"/>
      <c r="S56" s="1334"/>
      <c r="T56" s="1354"/>
      <c r="U56" s="171"/>
      <c r="V56" s="789"/>
      <c r="W56" s="790" t="str">
        <f>Z52&amp;"-"&amp;AB52</f>
        <v>-</v>
      </c>
      <c r="X56" s="789"/>
      <c r="Y56" s="790" t="str">
        <f>AB52&amp;"-"&amp;AD52</f>
        <v>-да</v>
      </c>
      <c r="Z56" s="789"/>
      <c r="AA56" s="789"/>
      <c r="AB56" s="789"/>
      <c r="AC56" s="789"/>
      <c r="AD56" s="1163"/>
      <c r="AE56" s="181"/>
      <c r="AF56" s="183"/>
      <c r="AG56" s="52" t="s">
        <v>509</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299"/>
      <c r="BE56" s="69"/>
      <c r="BF56" s="69" t="str">
        <f t="shared" ref="BF56:BF63" si="4">IF(T56="","",T56)</f>
        <v/>
      </c>
      <c r="BG56" s="69"/>
      <c r="BH56" s="69"/>
      <c r="BI56" s="11">
        <v>11</v>
      </c>
    </row>
    <row r="57" spans="1:61" ht="11.45" customHeight="1">
      <c r="A57" s="769" t="s">
        <v>280</v>
      </c>
      <c r="B57" s="769" t="s">
        <v>281</v>
      </c>
      <c r="C57" s="769" t="s">
        <v>282</v>
      </c>
      <c r="D57" s="769" t="s">
        <v>533</v>
      </c>
      <c r="E57" s="1276"/>
      <c r="F57" s="1276"/>
      <c r="G57" s="1276"/>
      <c r="H57" s="1276"/>
      <c r="I57" s="1278"/>
      <c r="J57" s="1277"/>
      <c r="K57" s="769"/>
      <c r="L57" s="770"/>
      <c r="P57" s="1279"/>
      <c r="Q57" s="1279"/>
      <c r="R57" s="208"/>
      <c r="S57" s="742"/>
      <c r="T57" s="166" t="s">
        <v>472</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0"/>
      <c r="BE57" s="69"/>
      <c r="BF57" s="69" t="str">
        <f t="shared" si="4"/>
        <v>Добавить строку</v>
      </c>
      <c r="BG57" s="69"/>
      <c r="BH57" s="69"/>
      <c r="BI57" s="11">
        <v>11</v>
      </c>
    </row>
    <row r="58" spans="1:61" s="68" customFormat="1" ht="0" hidden="1" customHeight="1">
      <c r="A58" s="145" t="s">
        <v>280</v>
      </c>
      <c r="B58" s="145" t="s">
        <v>281</v>
      </c>
      <c r="C58" s="145" t="s">
        <v>282</v>
      </c>
      <c r="D58" s="145" t="s">
        <v>533</v>
      </c>
      <c r="E58" s="1276"/>
      <c r="F58" s="1276"/>
      <c r="G58" s="1276"/>
      <c r="H58" s="1276"/>
      <c r="I58" s="1277"/>
      <c r="J58" s="145"/>
      <c r="K58" s="145"/>
      <c r="L58" s="346"/>
      <c r="M58" s="290"/>
      <c r="N58" s="290"/>
      <c r="O58" s="290"/>
      <c r="P58" s="1279"/>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280</v>
      </c>
      <c r="B59" s="145" t="s">
        <v>281</v>
      </c>
      <c r="C59" s="145" t="s">
        <v>282</v>
      </c>
      <c r="D59" s="145" t="s">
        <v>533</v>
      </c>
      <c r="E59" s="1276"/>
      <c r="F59" s="1276"/>
      <c r="G59" s="1276"/>
      <c r="H59" s="1275"/>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280</v>
      </c>
      <c r="B60" s="145" t="s">
        <v>281</v>
      </c>
      <c r="C60" s="145" t="s">
        <v>282</v>
      </c>
      <c r="D60" s="145"/>
      <c r="E60" s="1276"/>
      <c r="F60" s="1276"/>
      <c r="G60" s="1275"/>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280</v>
      </c>
      <c r="B61" s="145" t="s">
        <v>281</v>
      </c>
      <c r="C61" s="145"/>
      <c r="D61" s="145"/>
      <c r="E61" s="1276"/>
      <c r="F61" s="1275"/>
      <c r="G61" s="145"/>
      <c r="H61" s="145"/>
      <c r="I61" s="145"/>
      <c r="J61" s="145"/>
      <c r="K61" s="145"/>
      <c r="L61" s="346"/>
      <c r="M61" s="759"/>
      <c r="N61" s="759"/>
      <c r="P61" s="104"/>
      <c r="Q61" s="755"/>
      <c r="R61" s="104"/>
      <c r="S61" s="760"/>
      <c r="T61" s="762" t="s">
        <v>419</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280</v>
      </c>
      <c r="B62" s="145"/>
      <c r="C62" s="145"/>
      <c r="D62" s="145"/>
      <c r="E62" s="1275"/>
      <c r="F62" s="145"/>
      <c r="G62" s="145"/>
      <c r="H62" s="145"/>
      <c r="I62" s="145"/>
      <c r="J62" s="145"/>
      <c r="K62" s="145"/>
      <c r="L62" s="346"/>
      <c r="M62" s="759"/>
      <c r="N62" s="759"/>
      <c r="P62" s="104"/>
      <c r="Q62" s="755"/>
      <c r="R62" s="104"/>
      <c r="S62" s="760"/>
      <c r="T62" s="762" t="s">
        <v>420</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452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4.65" customHeight="1">
      <c r="O65" s="63"/>
      <c r="S65" s="198"/>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I65" s="11">
        <v>14</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65" customHeight="1">
      <c r="O67" s="63"/>
      <c r="S67" s="198"/>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I67" s="11">
        <v>14</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81127-054F-4836-22BD-15543FE45651}">
  <sheetPr>
    <tabColor rgb="FFCCCCFF"/>
    <pageSetUpPr fitToPage="1"/>
  </sheetPr>
  <dimension ref="A1:AC30"/>
  <sheetViews>
    <sheetView showGridLines="0" zoomScale="90" workbookViewId="0">
      <pane xSplit="6" ySplit="11" topLeftCell="G12" activePane="bottomRight" state="frozen"/>
      <selection pane="topRight" activeCell="G1" sqref="G1"/>
      <selection pane="bottomLeft" activeCell="A12" sqref="A12"/>
      <selection pane="bottomRight" activeCell="G14" sqref="G14"/>
    </sheetView>
  </sheetViews>
  <sheetFormatPr defaultColWidth="9.1406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109375" style="11" hidden="1" customWidth="1"/>
    <col min="7" max="7" width="46.7109375" style="11" customWidth="1"/>
    <col min="8" max="8" width="42" style="11" customWidth="1"/>
    <col min="9" max="9" width="14" style="11" customWidth="1"/>
    <col min="10" max="10" width="3" style="69" customWidth="1"/>
    <col min="11" max="13" width="9.140625" style="69" hidden="1"/>
    <col min="14" max="14" width="25.7109375" style="69" hidden="1" customWidth="1"/>
    <col min="15" max="15" width="14.42578125" style="69" hidden="1" customWidth="1"/>
    <col min="16" max="19" width="9.140625" style="126" hidden="1"/>
    <col min="20" max="27" width="9.140625" style="11" hidden="1"/>
    <col min="28" max="28" width="8" style="11" customWidth="1"/>
    <col min="29" max="29" width="9.140625" style="11" hidden="1"/>
  </cols>
  <sheetData>
    <row r="1" spans="1:29" s="68" customFormat="1" ht="5.25" hidden="1" customHeight="1">
      <c r="A1" s="203"/>
      <c r="D1" s="122"/>
      <c r="G1" s="145" t="s">
        <v>83</v>
      </c>
      <c r="H1" s="122" t="s">
        <v>84</v>
      </c>
      <c r="I1" s="127" t="s">
        <v>85</v>
      </c>
      <c r="J1" s="145" t="s">
        <v>83</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4" customHeight="1">
      <c r="A4" s="11"/>
      <c r="B4" s="63"/>
      <c r="C4" s="11"/>
      <c r="D4" s="77"/>
      <c r="E4" s="1134" t="str">
        <f>NameTemplatesInListMO</f>
        <v>Перечень муниципальных районов и муниципальных образований (территорий действия тарифа)</v>
      </c>
      <c r="F4" s="1134"/>
      <c r="G4" s="1134"/>
      <c r="H4" s="1134"/>
      <c r="I4" s="1134"/>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65" customHeight="1">
      <c r="A8" s="11"/>
      <c r="B8" s="63"/>
      <c r="C8" s="11"/>
      <c r="D8" s="77"/>
      <c r="E8" s="1129" t="s">
        <v>86</v>
      </c>
      <c r="F8" s="1135"/>
      <c r="G8" s="1128"/>
      <c r="H8" s="1136" t="s">
        <v>87</v>
      </c>
      <c r="I8" s="1136"/>
      <c r="J8" s="69"/>
      <c r="K8" s="69"/>
      <c r="L8" s="69"/>
      <c r="M8" s="69"/>
      <c r="N8" s="69"/>
      <c r="O8" s="69"/>
      <c r="P8" s="126"/>
      <c r="Q8" s="126"/>
      <c r="R8" s="126"/>
      <c r="S8" s="126"/>
      <c r="AC8" s="45">
        <v>14</v>
      </c>
    </row>
    <row r="9" spans="1:29" s="45" customFormat="1" ht="21" customHeight="1">
      <c r="A9" s="11"/>
      <c r="B9" s="63"/>
      <c r="C9" s="11"/>
      <c r="D9" s="77"/>
      <c r="E9" s="446" t="s">
        <v>88</v>
      </c>
      <c r="F9" s="446"/>
      <c r="G9" s="83" t="s">
        <v>89</v>
      </c>
      <c r="H9" s="83" t="s">
        <v>89</v>
      </c>
      <c r="I9" s="83" t="s">
        <v>85</v>
      </c>
      <c r="J9" s="69"/>
      <c r="K9" s="69"/>
      <c r="L9" s="69"/>
      <c r="M9" s="69"/>
      <c r="N9" s="69"/>
      <c r="O9" s="69"/>
      <c r="P9" s="126"/>
      <c r="Q9" s="126"/>
      <c r="R9" s="126"/>
      <c r="S9" s="126"/>
      <c r="AC9" s="45">
        <v>20</v>
      </c>
    </row>
    <row r="10" spans="1:29" ht="11.45" customHeight="1">
      <c r="D10" s="87"/>
      <c r="E10" s="124" t="s">
        <v>90</v>
      </c>
      <c r="F10" s="124"/>
      <c r="G10" s="124" t="s">
        <v>91</v>
      </c>
      <c r="H10" s="124" t="s">
        <v>92</v>
      </c>
      <c r="I10" s="124" t="s">
        <v>93</v>
      </c>
      <c r="J10" s="82"/>
      <c r="K10" s="82"/>
      <c r="L10" s="82"/>
      <c r="M10" s="82"/>
      <c r="N10" s="82"/>
      <c r="O10" s="82"/>
      <c r="P10" s="125"/>
      <c r="Q10" s="125"/>
      <c r="R10" s="125"/>
      <c r="S10" s="125"/>
      <c r="AC10" s="11">
        <v>11</v>
      </c>
    </row>
    <row r="11" spans="1:29" s="45" customFormat="1" ht="1.1499999999999999" customHeight="1">
      <c r="A11" s="11"/>
      <c r="B11" s="63"/>
      <c r="C11" s="11"/>
      <c r="D11" s="77"/>
      <c r="E11" s="452"/>
      <c r="F11" s="452"/>
      <c r="G11" s="84"/>
      <c r="H11" s="84"/>
      <c r="I11" s="86"/>
      <c r="J11" s="146" t="s">
        <v>94</v>
      </c>
      <c r="K11" s="69"/>
      <c r="L11" s="69"/>
      <c r="M11" s="69" t="s">
        <v>95</v>
      </c>
      <c r="N11" s="69" t="s">
        <v>96</v>
      </c>
      <c r="O11" s="69" t="s">
        <v>97</v>
      </c>
      <c r="P11" s="126"/>
      <c r="Q11" s="126"/>
      <c r="R11" s="126"/>
      <c r="S11" s="126"/>
      <c r="AC11" s="45">
        <v>1</v>
      </c>
    </row>
    <row r="12" spans="1:29" s="45" customFormat="1" ht="15" customHeight="1">
      <c r="A12" s="1132">
        <v>1</v>
      </c>
      <c r="B12" s="63"/>
      <c r="C12" s="11"/>
      <c r="D12" s="77"/>
      <c r="E12" s="41">
        <f>A12</f>
        <v>1</v>
      </c>
      <c r="F12" s="316" t="s">
        <v>98</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32"/>
      <c r="B13" s="63">
        <v>1</v>
      </c>
      <c r="C13" s="63"/>
      <c r="D13" s="461"/>
      <c r="E13" s="447" t="str">
        <f>A12&amp;"."&amp;B13</f>
        <v>1.1</v>
      </c>
      <c r="F13" s="457" t="s">
        <v>99</v>
      </c>
      <c r="G13" s="455" t="s">
        <v>100</v>
      </c>
      <c r="H13" s="455" t="s">
        <v>101</v>
      </c>
      <c r="I13" s="453" t="s">
        <v>102</v>
      </c>
      <c r="J13" s="69" t="e">
        <f ca="1">MERGEVALUE(G13)</f>
        <v>#NAME?</v>
      </c>
      <c r="K13" s="68"/>
      <c r="L13" s="68"/>
      <c r="M13" s="69" t="str">
        <f t="array" ref="M13">IF(ISERROR(MATCH(MID(N13,1,250),MID(note_ter,1,250),0)),"n","y")</f>
        <v>n</v>
      </c>
      <c r="N13" s="68"/>
      <c r="O13" s="69" t="str">
        <f>H13&amp;"("&amp;I13&amp;")"</f>
        <v>город Кукмор(92633101)</v>
      </c>
      <c r="P13" s="63"/>
      <c r="Q13" s="63"/>
      <c r="R13" s="236"/>
      <c r="S13" s="63"/>
      <c r="T13" s="63"/>
      <c r="U13" s="63"/>
      <c r="V13" s="62"/>
      <c r="W13" s="62"/>
      <c r="X13" s="104"/>
      <c r="Y13" s="104"/>
      <c r="Z13" s="104"/>
      <c r="AA13" s="104"/>
      <c r="AB13" s="104"/>
      <c r="AC13">
        <v>15</v>
      </c>
    </row>
    <row r="14" spans="1:29" ht="15" customHeight="1">
      <c r="A14" s="1133"/>
      <c r="B14" s="63" t="s">
        <v>103</v>
      </c>
      <c r="C14" s="63"/>
      <c r="D14" s="461" t="s">
        <v>104</v>
      </c>
      <c r="E14" s="41" t="str">
        <f>A12&amp;"."&amp;B14</f>
        <v>1.2</v>
      </c>
      <c r="F14" s="1015" t="s">
        <v>105</v>
      </c>
      <c r="G14" s="1018" t="s">
        <v>100</v>
      </c>
      <c r="H14" s="1018" t="s">
        <v>106</v>
      </c>
      <c r="I14" s="1016" t="s">
        <v>107</v>
      </c>
      <c r="K14" s="68"/>
      <c r="L14" s="68"/>
      <c r="M14" s="69" t="str">
        <f t="array" ref="M14">IF(ISERROR(MATCH(MID(N14,1,250),MID(note_ter,1,250),0)),"n","y")</f>
        <v>n</v>
      </c>
      <c r="N14" s="68"/>
      <c r="O14" s="69" t="str">
        <f>H14&amp;"("&amp;I14&amp;")"</f>
        <v>Ныртинское(92633444)</v>
      </c>
      <c r="P14" s="63"/>
      <c r="Q14" s="63"/>
      <c r="R14" s="236"/>
      <c r="S14" s="63"/>
      <c r="T14" s="63"/>
      <c r="U14" s="63"/>
      <c r="V14" s="62"/>
      <c r="W14" s="62"/>
      <c r="X14" s="104"/>
      <c r="Y14" s="104"/>
      <c r="Z14" s="104"/>
      <c r="AA14" s="104"/>
      <c r="AB14" s="104"/>
      <c r="AC14" s="104"/>
    </row>
    <row r="15" spans="1:29" ht="15.75" customHeight="1">
      <c r="A15" s="1132"/>
      <c r="C15" s="235"/>
      <c r="D15" s="462"/>
      <c r="E15" s="237"/>
      <c r="F15" s="88"/>
      <c r="G15" s="110" t="s">
        <v>108</v>
      </c>
      <c r="H15" s="97"/>
      <c r="I15" s="238"/>
      <c r="J15" s="68"/>
      <c r="K15" s="68"/>
      <c r="L15" s="68"/>
      <c r="M15" s="68"/>
      <c r="O15" s="68"/>
      <c r="P15" s="63"/>
      <c r="Q15" s="63"/>
      <c r="R15" s="236"/>
      <c r="S15" s="63"/>
      <c r="T15" s="63"/>
      <c r="U15" s="63"/>
      <c r="V15" s="62"/>
      <c r="W15" s="62"/>
      <c r="X15" s="104"/>
      <c r="Y15" s="104"/>
      <c r="Z15" s="104"/>
      <c r="AA15" s="104"/>
      <c r="AB15" s="104"/>
      <c r="AC15">
        <v>15</v>
      </c>
    </row>
    <row r="16" spans="1:29" s="45" customFormat="1" ht="14.65" customHeight="1">
      <c r="A16" s="11"/>
      <c r="B16" s="63"/>
      <c r="C16" s="11"/>
      <c r="D16" s="77"/>
      <c r="E16" s="456"/>
      <c r="F16" s="89"/>
      <c r="G16" s="52" t="s">
        <v>109</v>
      </c>
      <c r="H16" s="89"/>
      <c r="I16" s="90"/>
      <c r="J16" s="146"/>
      <c r="K16" s="69"/>
      <c r="L16" s="69"/>
      <c r="M16" s="69"/>
      <c r="N16" s="69" t="s">
        <v>110</v>
      </c>
      <c r="O16" s="69"/>
      <c r="P16" s="126"/>
      <c r="Q16" s="126"/>
      <c r="R16" s="126"/>
      <c r="S16" s="126"/>
      <c r="AC16" s="45">
        <v>14</v>
      </c>
    </row>
    <row r="17" spans="1:29" s="45" customFormat="1" ht="21.95" customHeight="1">
      <c r="A17" s="11"/>
      <c r="B17" s="63"/>
      <c r="C17" s="11"/>
      <c r="D17" s="77"/>
      <c r="E17" s="91"/>
      <c r="F17" s="91"/>
      <c r="G17" s="91"/>
      <c r="H17" s="91"/>
      <c r="I17" s="91"/>
      <c r="J17" s="69"/>
      <c r="K17" s="69"/>
      <c r="L17" s="69"/>
      <c r="M17" s="69"/>
      <c r="N17" s="69"/>
      <c r="O17" s="69"/>
      <c r="P17" s="126"/>
      <c r="Q17" s="126"/>
      <c r="R17" s="126"/>
      <c r="S17" s="126"/>
      <c r="AC17" s="45">
        <v>21</v>
      </c>
    </row>
    <row r="18" spans="1:29" s="45" customFormat="1" ht="14.65" customHeight="1">
      <c r="A18" s="11"/>
      <c r="B18" s="63"/>
      <c r="C18" s="11"/>
      <c r="D18" s="77"/>
      <c r="E18" s="11"/>
      <c r="F18" s="11"/>
      <c r="G18" s="11"/>
      <c r="H18" s="11"/>
      <c r="I18" s="11"/>
      <c r="J18" s="69"/>
      <c r="K18" s="69"/>
      <c r="L18" s="69"/>
      <c r="M18" s="69"/>
      <c r="N18" s="69"/>
      <c r="O18" s="69"/>
      <c r="P18" s="126"/>
      <c r="Q18" s="126"/>
      <c r="R18" s="126"/>
      <c r="S18" s="126"/>
      <c r="AC18" s="45">
        <v>14</v>
      </c>
    </row>
    <row r="19" spans="1:29" s="45" customFormat="1" ht="1.1499999999999999" customHeight="1">
      <c r="A19" s="11"/>
      <c r="B19" s="63"/>
      <c r="C19" s="11"/>
      <c r="D19" s="77"/>
      <c r="E19" s="11"/>
      <c r="F19" s="11"/>
      <c r="G19" s="11"/>
      <c r="H19" s="11"/>
      <c r="I19" s="11"/>
      <c r="J19" s="69"/>
      <c r="K19" s="69"/>
      <c r="L19" s="69"/>
      <c r="M19" s="69"/>
      <c r="N19" s="69"/>
      <c r="O19" s="69"/>
      <c r="P19" s="126"/>
      <c r="Q19" s="126"/>
      <c r="R19" s="126"/>
      <c r="S19" s="126"/>
      <c r="AC19" s="45">
        <v>1</v>
      </c>
    </row>
    <row r="20" spans="1:29" s="92" customFormat="1" ht="10.5" customHeight="1">
      <c r="B20" s="475"/>
      <c r="D20" s="93"/>
      <c r="J20" s="69"/>
      <c r="K20" s="69"/>
      <c r="L20" s="69"/>
      <c r="M20" s="69"/>
      <c r="N20" s="69"/>
      <c r="O20" s="69"/>
      <c r="P20" s="126"/>
      <c r="Q20" s="126"/>
      <c r="R20" s="126"/>
      <c r="S20" s="126"/>
      <c r="AC20" s="92">
        <v>10</v>
      </c>
    </row>
    <row r="21" spans="1:29" s="92" customFormat="1" ht="10.5" customHeight="1">
      <c r="B21" s="475"/>
      <c r="D21" s="93"/>
      <c r="J21" s="69"/>
      <c r="K21" s="69"/>
      <c r="L21" s="69"/>
      <c r="M21" s="69"/>
      <c r="N21" s="69"/>
      <c r="O21" s="69"/>
      <c r="P21" s="126"/>
      <c r="Q21" s="126"/>
      <c r="R21" s="126"/>
      <c r="S21" s="126"/>
      <c r="AC21" s="92">
        <v>10</v>
      </c>
    </row>
    <row r="22" spans="1:29" ht="14.65" customHeight="1">
      <c r="AC22" s="11">
        <v>14</v>
      </c>
    </row>
    <row r="23" spans="1:29" ht="14.65" customHeight="1">
      <c r="AC23" s="11">
        <v>14</v>
      </c>
    </row>
    <row r="24" spans="1:29" ht="14.65" customHeight="1">
      <c r="AC24" s="11">
        <v>14</v>
      </c>
    </row>
    <row r="25" spans="1:29" ht="14.65" customHeight="1">
      <c r="H25" s="2"/>
      <c r="AC25" s="11">
        <v>14</v>
      </c>
    </row>
    <row r="26" spans="1:29" ht="14.65" customHeight="1">
      <c r="AC26" s="11">
        <v>14</v>
      </c>
    </row>
    <row r="27" spans="1:29" ht="14.65" customHeight="1">
      <c r="AC27" s="11">
        <v>14</v>
      </c>
    </row>
    <row r="28" spans="1:29" ht="14.65" customHeight="1">
      <c r="AC28" s="11">
        <v>14</v>
      </c>
    </row>
    <row r="29" spans="1:29" ht="14.65" customHeight="1">
      <c r="J29" s="11"/>
      <c r="K29" s="11"/>
      <c r="L29" s="11"/>
      <c r="AC29" s="11">
        <v>14</v>
      </c>
    </row>
    <row r="30" spans="1:29" ht="22.5" hidden="1" customHeight="1">
      <c r="A30" s="11" t="s">
        <v>82</v>
      </c>
      <c r="B30" s="63">
        <v>0</v>
      </c>
      <c r="C30" s="11">
        <v>3</v>
      </c>
      <c r="D30" s="77">
        <v>3</v>
      </c>
      <c r="E30" s="11">
        <v>6</v>
      </c>
      <c r="F30" s="11">
        <v>0</v>
      </c>
      <c r="G30" s="11">
        <v>46</v>
      </c>
      <c r="H30" s="11">
        <v>42</v>
      </c>
      <c r="I30" s="11">
        <v>14</v>
      </c>
      <c r="J30" s="69">
        <v>3</v>
      </c>
      <c r="K30" s="69">
        <v>0</v>
      </c>
      <c r="L30" s="69">
        <v>0</v>
      </c>
      <c r="M30" s="69">
        <v>0</v>
      </c>
      <c r="N30" s="69">
        <v>0</v>
      </c>
      <c r="O30" s="69">
        <v>0</v>
      </c>
      <c r="P30" s="126">
        <v>0</v>
      </c>
      <c r="Q30" s="126">
        <v>0</v>
      </c>
      <c r="R30" s="126">
        <v>0</v>
      </c>
      <c r="S30" s="126">
        <v>0</v>
      </c>
      <c r="T30" s="11">
        <v>0</v>
      </c>
      <c r="U30" s="11">
        <v>0</v>
      </c>
      <c r="V30" s="11">
        <v>0</v>
      </c>
      <c r="W30" s="11">
        <v>0</v>
      </c>
      <c r="X30" s="11">
        <v>0</v>
      </c>
      <c r="Y30" s="11">
        <v>0</v>
      </c>
      <c r="Z30" s="11">
        <v>0</v>
      </c>
      <c r="AA30" s="11">
        <v>0</v>
      </c>
      <c r="AB30" s="11">
        <v>8</v>
      </c>
      <c r="AC30" s="11">
        <v>23</v>
      </c>
    </row>
  </sheetData>
  <sheetProtection formatColumns="0" formatRows="0" insertRows="0" deleteColumns="0" deleteRows="0" sort="0" autoFilter="0"/>
  <mergeCells count="4">
    <mergeCell ref="A12:A15"/>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5"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80CF4-05A8-E074-F1E7-779252A93EBA}">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0"/>
      <c r="AC2" s="1270"/>
      <c r="AD2" s="1270"/>
      <c r="AE2" s="1270"/>
      <c r="AF2" s="1271"/>
      <c r="AG2" s="1269" t="e">
        <f>INDEX(PT_DIFFERENTIATION_NTAR,MATCH(A2,PT_DIFFERENTIATION_NTAR_ID,0))</f>
        <v>#N/A</v>
      </c>
      <c r="AH2" s="1270"/>
      <c r="AI2" s="1270"/>
      <c r="AJ2" s="1270"/>
      <c r="AK2" s="1270"/>
      <c r="AL2" s="1270"/>
      <c r="AM2" s="1270"/>
      <c r="AN2" s="1270"/>
      <c r="AO2" s="1270"/>
      <c r="AP2" s="1270"/>
      <c r="AQ2" s="1270"/>
      <c r="AR2" s="1271"/>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0"/>
      <c r="AC3" s="1270"/>
      <c r="AD3" s="1270"/>
      <c r="AE3" s="1270"/>
      <c r="AF3" s="1271"/>
      <c r="AG3" s="1269" t="e">
        <f>INDEX(PT_DIFFERENTIATION_TER,MATCH(B3,PT_DIFFERENTIATION_TER_ID,0))</f>
        <v>#N/A</v>
      </c>
      <c r="AH3" s="1270"/>
      <c r="AI3" s="1270"/>
      <c r="AJ3" s="1270"/>
      <c r="AK3" s="1270"/>
      <c r="AL3" s="1270"/>
      <c r="AM3" s="1270"/>
      <c r="AN3" s="1270"/>
      <c r="AO3" s="1270"/>
      <c r="AP3" s="1270"/>
      <c r="AQ3" s="1270"/>
      <c r="AR3" s="1271"/>
      <c r="AS3" s="729" t="s">
        <v>402</v>
      </c>
      <c r="AU3" s="69"/>
      <c r="AV3" s="69" t="str">
        <f t="shared" si="0"/>
        <v>Территория действия тарифа</v>
      </c>
      <c r="AW3" s="69"/>
      <c r="AX3" s="69"/>
      <c r="AY3" s="11">
        <v>0</v>
      </c>
    </row>
    <row r="4" spans="1:51"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534</v>
      </c>
      <c r="U4" s="171"/>
      <c r="V4" s="1269"/>
      <c r="W4" s="1270"/>
      <c r="X4" s="1270"/>
      <c r="Y4" s="1270"/>
      <c r="Z4" s="1270"/>
      <c r="AA4" s="1270"/>
      <c r="AB4" s="1270"/>
      <c r="AC4" s="1270"/>
      <c r="AD4" s="1270"/>
      <c r="AE4" s="1270"/>
      <c r="AF4" s="1271"/>
      <c r="AG4" s="1269" t="e">
        <f>INDEX(PT_DIFFERENTIATION_CS,MATCH(C4,PT_DIFFERENTIATION_CS_ID,0))</f>
        <v>#N/A</v>
      </c>
      <c r="AH4" s="1270"/>
      <c r="AI4" s="1270"/>
      <c r="AJ4" s="1270"/>
      <c r="AK4" s="1270"/>
      <c r="AL4" s="1270"/>
      <c r="AM4" s="1270"/>
      <c r="AN4" s="1270"/>
      <c r="AO4" s="1270"/>
      <c r="AP4" s="1270"/>
      <c r="AQ4" s="1270"/>
      <c r="AR4" s="1271"/>
      <c r="AS4" s="729" t="s">
        <v>535</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6"/>
      <c r="F5" s="1276"/>
      <c r="G5" s="1276"/>
      <c r="H5" s="1276"/>
      <c r="I5" s="1277" t="e">
        <f>S4&amp;".1"</f>
        <v>#N/A</v>
      </c>
      <c r="J5" s="769"/>
      <c r="K5" s="769"/>
      <c r="L5" s="770"/>
      <c r="P5" s="1279">
        <v>1</v>
      </c>
      <c r="Q5" s="122"/>
      <c r="R5" s="208"/>
      <c r="S5" s="709" t="e">
        <f>$I5</f>
        <v>#N/A</v>
      </c>
      <c r="T5" s="164" t="s">
        <v>487</v>
      </c>
      <c r="U5" s="171"/>
      <c r="V5" s="1343"/>
      <c r="W5" s="1344"/>
      <c r="X5" s="1344"/>
      <c r="Y5" s="1344"/>
      <c r="Z5" s="1344"/>
      <c r="AA5" s="1344"/>
      <c r="AB5" s="1344"/>
      <c r="AC5" s="1344"/>
      <c r="AD5" s="1344"/>
      <c r="AE5" s="1344"/>
      <c r="AF5" s="1345"/>
      <c r="AG5" s="1346"/>
      <c r="AH5" s="1347"/>
      <c r="AI5" s="1347"/>
      <c r="AJ5" s="1347"/>
      <c r="AK5" s="1347"/>
      <c r="AL5" s="1347"/>
      <c r="AM5" s="1347"/>
      <c r="AN5" s="1347"/>
      <c r="AO5" s="1347"/>
      <c r="AP5" s="1347"/>
      <c r="AQ5" s="1347"/>
      <c r="AR5" s="1348"/>
      <c r="AS5" s="729" t="s">
        <v>488</v>
      </c>
      <c r="AU5" s="69"/>
      <c r="AV5" s="69" t="str">
        <f t="shared" si="0"/>
        <v>Наименование признака дифференциации</v>
      </c>
      <c r="AW5" s="69"/>
      <c r="AX5" s="69"/>
      <c r="AY5" s="11">
        <v>0</v>
      </c>
    </row>
    <row r="6" spans="1:51" ht="23.25" hidden="1" customHeight="1">
      <c r="A6" s="769"/>
      <c r="B6" s="769"/>
      <c r="C6" s="769"/>
      <c r="D6" s="769"/>
      <c r="E6" s="1276"/>
      <c r="F6" s="1276"/>
      <c r="G6" s="1276"/>
      <c r="H6" s="1276"/>
      <c r="I6" s="1278"/>
      <c r="J6" s="1277" t="e">
        <f>I5&amp;".1"</f>
        <v>#N/A</v>
      </c>
      <c r="K6" s="769"/>
      <c r="L6" s="770" t="s">
        <v>410</v>
      </c>
      <c r="P6" s="1279"/>
      <c r="Q6" s="1279">
        <v>1</v>
      </c>
      <c r="R6" s="209"/>
      <c r="S6" s="709" t="e">
        <f>$J6</f>
        <v>#N/A</v>
      </c>
      <c r="T6" s="165" t="s">
        <v>411</v>
      </c>
      <c r="U6" s="171"/>
      <c r="V6" s="1263"/>
      <c r="W6" s="1264"/>
      <c r="X6" s="1264"/>
      <c r="Y6" s="1264"/>
      <c r="Z6" s="1264"/>
      <c r="AA6" s="1264"/>
      <c r="AB6" s="1264"/>
      <c r="AC6" s="1264"/>
      <c r="AD6" s="1264"/>
      <c r="AE6" s="1264"/>
      <c r="AF6" s="1265"/>
      <c r="AG6" s="1263"/>
      <c r="AH6" s="1264"/>
      <c r="AI6" s="1264"/>
      <c r="AJ6" s="1264"/>
      <c r="AK6" s="1264"/>
      <c r="AL6" s="1264"/>
      <c r="AM6" s="1264"/>
      <c r="AN6" s="1264"/>
      <c r="AO6" s="1264"/>
      <c r="AP6" s="1264"/>
      <c r="AQ6" s="1264"/>
      <c r="AR6" s="1265"/>
      <c r="AS6" s="753" t="s">
        <v>489</v>
      </c>
      <c r="AU6" s="69"/>
      <c r="AV6" s="69" t="str">
        <f t="shared" si="0"/>
        <v>Группа потребителей</v>
      </c>
      <c r="AW6" s="69"/>
      <c r="AX6" s="69"/>
      <c r="AY6" s="11">
        <v>0</v>
      </c>
    </row>
    <row r="7" spans="1:51"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306"/>
      <c r="Y7" s="306"/>
      <c r="Z7" s="306"/>
      <c r="AA7" s="306"/>
      <c r="AB7" s="306"/>
      <c r="AC7" s="1280"/>
      <c r="AD7" s="1158" t="s">
        <v>66</v>
      </c>
      <c r="AE7" s="1280"/>
      <c r="AF7" s="1158" t="s">
        <v>66</v>
      </c>
      <c r="AG7" s="306"/>
      <c r="AH7" s="306"/>
      <c r="AI7" s="306"/>
      <c r="AJ7" s="306"/>
      <c r="AK7" s="306"/>
      <c r="AL7" s="306"/>
      <c r="AM7" s="306"/>
      <c r="AN7" s="1280"/>
      <c r="AO7" s="1158" t="s">
        <v>66</v>
      </c>
      <c r="AP7" s="1282"/>
      <c r="AQ7" s="1158" t="s">
        <v>66</v>
      </c>
      <c r="AR7" s="813"/>
      <c r="AS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6"/>
      <c r="F8" s="1276"/>
      <c r="G8" s="1276"/>
      <c r="H8" s="1276"/>
      <c r="I8" s="1278"/>
      <c r="J8" s="1278"/>
      <c r="K8" s="1277"/>
      <c r="L8" s="770"/>
      <c r="P8" s="1279"/>
      <c r="Q8" s="1279"/>
      <c r="R8" s="209"/>
      <c r="S8" s="65"/>
      <c r="T8" s="171"/>
      <c r="U8" s="171"/>
      <c r="V8" s="191"/>
      <c r="W8" s="191"/>
      <c r="X8" s="191"/>
      <c r="Y8" s="191"/>
      <c r="Z8" s="191"/>
      <c r="AA8" s="191"/>
      <c r="AB8" s="191"/>
      <c r="AC8" s="1281"/>
      <c r="AD8" s="1158"/>
      <c r="AE8" s="1281"/>
      <c r="AF8" s="1158"/>
      <c r="AG8" s="191"/>
      <c r="AH8" s="191"/>
      <c r="AI8" s="191"/>
      <c r="AJ8" s="191"/>
      <c r="AK8" s="191"/>
      <c r="AL8" s="191"/>
      <c r="AM8" s="191"/>
      <c r="AN8" s="1281"/>
      <c r="AO8" s="1158"/>
      <c r="AP8" s="1283"/>
      <c r="AQ8" s="1158"/>
      <c r="AR8" s="388"/>
      <c r="AS8" s="1349"/>
      <c r="AU8" s="69"/>
      <c r="AV8" s="69" t="str">
        <f t="shared" si="0"/>
        <v/>
      </c>
      <c r="AW8" s="69"/>
      <c r="AX8" s="69"/>
      <c r="AY8" s="11">
        <v>0</v>
      </c>
    </row>
    <row r="9" spans="1:51" ht="21" hidden="1" customHeight="1">
      <c r="A9" s="769"/>
      <c r="B9" s="769"/>
      <c r="C9" s="769"/>
      <c r="D9" s="769"/>
      <c r="E9" s="1276"/>
      <c r="F9" s="1276"/>
      <c r="G9" s="1276"/>
      <c r="H9" s="1276"/>
      <c r="I9" s="1278"/>
      <c r="J9" s="1277"/>
      <c r="K9" s="769"/>
      <c r="L9" s="770"/>
      <c r="P9" s="1279"/>
      <c r="Q9" s="1279"/>
      <c r="R9" s="208"/>
      <c r="S9" s="742"/>
      <c r="T9" s="166" t="s">
        <v>490</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491</v>
      </c>
      <c r="AU9" s="69"/>
      <c r="AV9" s="69" t="str">
        <f t="shared" si="0"/>
        <v>Добавить значение признака дифференциации</v>
      </c>
      <c r="AW9" s="69"/>
      <c r="AX9" s="69"/>
      <c r="AY9" s="11">
        <v>0</v>
      </c>
    </row>
    <row r="10" spans="1:51" ht="21" hidden="1" customHeight="1">
      <c r="A10" s="769"/>
      <c r="B10" s="769"/>
      <c r="C10" s="769"/>
      <c r="D10" s="769"/>
      <c r="E10" s="1276"/>
      <c r="F10" s="1276"/>
      <c r="G10" s="1276"/>
      <c r="H10" s="1276"/>
      <c r="I10" s="1277"/>
      <c r="J10" s="769"/>
      <c r="K10" s="769"/>
      <c r="L10" s="770"/>
      <c r="P10" s="1279"/>
      <c r="Q10" s="122"/>
      <c r="R10" s="208"/>
      <c r="S10" s="742"/>
      <c r="T10" s="211" t="s">
        <v>416</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6"/>
      <c r="F11" s="1276"/>
      <c r="G11" s="1276"/>
      <c r="H11" s="1275"/>
      <c r="I11" s="769"/>
      <c r="J11" s="769"/>
      <c r="K11" s="769"/>
      <c r="L11" s="770"/>
      <c r="M11" s="426"/>
      <c r="N11" s="426"/>
      <c r="O11" s="63"/>
      <c r="P11" s="34"/>
      <c r="Q11" s="216"/>
      <c r="R11" s="207"/>
      <c r="S11" s="742"/>
      <c r="T11" s="107" t="s">
        <v>492</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419</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420</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73"/>
      <c r="AO15" s="1272" t="s">
        <v>66</v>
      </c>
      <c r="AP15" s="1273"/>
      <c r="AQ15" s="1272" t="s">
        <v>66</v>
      </c>
      <c r="AY15" s="11">
        <v>0</v>
      </c>
    </row>
    <row r="16" spans="1:51" ht="14.25" hidden="1" customHeight="1">
      <c r="AG16" s="368"/>
      <c r="AH16" s="368"/>
      <c r="AI16" s="368"/>
      <c r="AJ16" s="368"/>
      <c r="AK16" s="368"/>
      <c r="AL16" s="368"/>
      <c r="AM16" s="368"/>
      <c r="AN16" s="1272"/>
      <c r="AO16" s="1272"/>
      <c r="AP16" s="1272"/>
      <c r="AQ16" s="1272"/>
      <c r="AY16" s="11">
        <v>0</v>
      </c>
    </row>
    <row r="17" spans="1:51" ht="14.25" hidden="1" customHeight="1">
      <c r="AY17" s="11">
        <v>0</v>
      </c>
    </row>
    <row r="18" spans="1:51" s="63" customFormat="1" ht="22.5" hidden="1" customHeight="1">
      <c r="L18" s="301"/>
      <c r="M18" s="506"/>
      <c r="N18" s="506"/>
      <c r="O18" s="771" t="s">
        <v>421</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422</v>
      </c>
      <c r="P20" s="506"/>
      <c r="Q20" s="815"/>
      <c r="R20" s="815"/>
      <c r="S20" s="426"/>
      <c r="T20" s="63" t="s">
        <v>423</v>
      </c>
      <c r="AD20" s="82" t="s">
        <v>424</v>
      </c>
      <c r="AF20" s="82" t="s">
        <v>425</v>
      </c>
      <c r="AG20" s="63" t="s">
        <v>423</v>
      </c>
      <c r="AO20" s="82" t="s">
        <v>426</v>
      </c>
      <c r="AQ20" s="82" t="s">
        <v>425</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5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59"/>
      <c r="AY24" s="11">
        <v>25</v>
      </c>
    </row>
    <row r="25" spans="1:51" ht="14.65" customHeight="1">
      <c r="Q25" s="2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1229"/>
      <c r="AJ25" s="1229"/>
      <c r="AK25" s="1229"/>
      <c r="AL25" s="1229"/>
      <c r="AM25" s="1229"/>
      <c r="AN25" s="1229"/>
      <c r="AO25" s="1229"/>
      <c r="AP25" s="1229"/>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268"/>
      <c r="AC27" s="1268"/>
      <c r="AD27" s="1268"/>
      <c r="AE27" s="1268"/>
      <c r="AF27" s="11"/>
      <c r="AG27" s="1268" t="str">
        <f>IF(TITLE_NAME_OR_PR_CHANGE="",IF(TITLE_NAME_OR_PR="","",TITLE_NAME_OR_PR),TITLE_NAME_OR_PR_CHANGE)</f>
        <v/>
      </c>
      <c r="AH27" s="1268"/>
      <c r="AI27" s="1268"/>
      <c r="AJ27" s="1268"/>
      <c r="AK27" s="1268"/>
      <c r="AL27" s="1268"/>
      <c r="AM27" s="1268"/>
      <c r="AN27" s="1268"/>
      <c r="AO27" s="1268"/>
      <c r="AP27" s="1268"/>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6" t="s">
        <v>427</v>
      </c>
      <c r="T28" s="1266"/>
      <c r="U28" s="773"/>
      <c r="V28" s="1267" t="str">
        <f>IF(TITLE_DATE_PR_CHANGE="",IF(TITLE_DATE_PR="","",TITLE_DATE_PR),TITLE_DATE_PR_CHANGE)</f>
        <v/>
      </c>
      <c r="W28" s="1267"/>
      <c r="X28" s="1267"/>
      <c r="Y28" s="1267"/>
      <c r="Z28" s="1267"/>
      <c r="AA28" s="1267"/>
      <c r="AB28" s="1267"/>
      <c r="AC28" s="1267"/>
      <c r="AD28" s="1267"/>
      <c r="AE28" s="1267"/>
      <c r="AF28" s="11"/>
      <c r="AG28" s="1267" t="str">
        <f>IF(TITLE_DATE_PR_CHANGE="",IF(TITLE_DATE_PR="","",TITLE_DATE_PR),TITLE_DATE_PR_CHANGE)</f>
        <v/>
      </c>
      <c r="AH28" s="1267"/>
      <c r="AI28" s="1267"/>
      <c r="AJ28" s="1267"/>
      <c r="AK28" s="1267"/>
      <c r="AL28" s="1267"/>
      <c r="AM28" s="1267"/>
      <c r="AN28" s="1267"/>
      <c r="AO28" s="1267"/>
      <c r="AP28" s="1267"/>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6" t="s">
        <v>428</v>
      </c>
      <c r="T29" s="1266"/>
      <c r="U29" s="773"/>
      <c r="V29" s="1268" t="str">
        <f>IF(TITLE_NUMBER_PR_CHANGE="",IF(TITLE_NUMBER_PR="","",TITLE_NUMBER_PR),TITLE_NUMBER_PR_CHANGE)</f>
        <v/>
      </c>
      <c r="W29" s="1268"/>
      <c r="X29" s="1268"/>
      <c r="Y29" s="1268"/>
      <c r="Z29" s="1268"/>
      <c r="AA29" s="1268"/>
      <c r="AB29" s="1268"/>
      <c r="AC29" s="1268"/>
      <c r="AD29" s="1268"/>
      <c r="AE29" s="1268"/>
      <c r="AF29" s="11"/>
      <c r="AG29" s="1268" t="str">
        <f>IF(TITLE_NUMBER_PR_CHANGE="",IF(TITLE_NUMBER_PR="","",TITLE_NUMBER_PR),TITLE_NUMBER_PR_CHANGE)</f>
        <v/>
      </c>
      <c r="AH29" s="1268"/>
      <c r="AI29" s="1268"/>
      <c r="AJ29" s="1268"/>
      <c r="AK29" s="1268"/>
      <c r="AL29" s="1268"/>
      <c r="AM29" s="1268"/>
      <c r="AN29" s="1268"/>
      <c r="AO29" s="1268"/>
      <c r="AP29" s="1268"/>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268"/>
      <c r="AC30" s="1268"/>
      <c r="AD30" s="1268"/>
      <c r="AE30" s="1268"/>
      <c r="AF30" s="11"/>
      <c r="AG30" s="1268" t="str">
        <f>IF(TITLE_IST_PUB_CHANGE="",IF(TITLE_IST_PUB="","",TITLE_IST_PUB),TITLE_IST_PUB_CHANGE)</f>
        <v/>
      </c>
      <c r="AH30" s="1268"/>
      <c r="AI30" s="1268"/>
      <c r="AJ30" s="1268"/>
      <c r="AK30" s="1268"/>
      <c r="AL30" s="1268"/>
      <c r="AM30" s="1268"/>
      <c r="AN30" s="1268"/>
      <c r="AO30" s="1268"/>
      <c r="AP30" s="1268"/>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6" t="s">
        <v>429</v>
      </c>
      <c r="T32" s="1266"/>
      <c r="U32" s="773"/>
      <c r="V32" s="1267" t="str">
        <f>IF(TITLE_DATE_PR_CHANGE="",IF(TITLE_DATE_PR="","",TITLE_DATE_PR),TITLE_DATE_PR_CHANGE)</f>
        <v/>
      </c>
      <c r="W32" s="1267"/>
      <c r="X32" s="1267"/>
      <c r="Y32" s="1267"/>
      <c r="Z32" s="1267"/>
      <c r="AA32" s="1267"/>
      <c r="AB32" s="1267"/>
      <c r="AC32" s="1267"/>
      <c r="AD32" s="1267"/>
      <c r="AE32" s="1267"/>
      <c r="AF32" s="11"/>
      <c r="AG32" s="1267" t="str">
        <f>IF(TITLE_DATE_PR_CHANGE="",IF(TITLE_DATE_PR="","",TITLE_DATE_PR),TITLE_DATE_PR_CHANGE)</f>
        <v/>
      </c>
      <c r="AH32" s="1267"/>
      <c r="AI32" s="1267"/>
      <c r="AJ32" s="1267"/>
      <c r="AK32" s="1267"/>
      <c r="AL32" s="1267"/>
      <c r="AM32" s="1267"/>
      <c r="AN32" s="1267"/>
      <c r="AO32" s="1267"/>
      <c r="AP32" s="1267"/>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6" t="s">
        <v>430</v>
      </c>
      <c r="T33" s="1266"/>
      <c r="U33" s="773"/>
      <c r="V33" s="1268" t="str">
        <f>IF(TITLE_NUMBER_PR_CHANGE="",IF(TITLE_NUMBER_PR="","",TITLE_NUMBER_PR),TITLE_NUMBER_PR_CHANGE)</f>
        <v/>
      </c>
      <c r="W33" s="1268"/>
      <c r="X33" s="1268"/>
      <c r="Y33" s="1268"/>
      <c r="Z33" s="1268"/>
      <c r="AA33" s="1268"/>
      <c r="AB33" s="1268"/>
      <c r="AC33" s="1268"/>
      <c r="AD33" s="1268"/>
      <c r="AE33" s="1268"/>
      <c r="AF33" s="11"/>
      <c r="AG33" s="1268" t="str">
        <f>IF(TITLE_NUMBER_PR_CHANGE="",IF(TITLE_NUMBER_PR="","",TITLE_NUMBER_PR),TITLE_NUMBER_PR_CHANGE)</f>
        <v/>
      </c>
      <c r="AH33" s="1268"/>
      <c r="AI33" s="1268"/>
      <c r="AJ33" s="1268"/>
      <c r="AK33" s="1268"/>
      <c r="AL33" s="1268"/>
      <c r="AM33" s="1268"/>
      <c r="AN33" s="1268"/>
      <c r="AO33" s="1268"/>
      <c r="AP33" s="1268"/>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431</v>
      </c>
      <c r="AG34" s="11"/>
      <c r="AH34" s="11"/>
      <c r="AI34" s="11"/>
      <c r="AJ34" s="11"/>
      <c r="AK34" s="11"/>
      <c r="AL34" s="11"/>
      <c r="AM34" s="11"/>
      <c r="AN34" s="11"/>
      <c r="AO34" s="11"/>
      <c r="AP34" s="11"/>
      <c r="AQ34" s="68" t="s">
        <v>431</v>
      </c>
      <c r="AT34" s="69"/>
      <c r="AU34" s="69"/>
      <c r="AV34" s="69"/>
      <c r="AW34" s="69"/>
      <c r="AX34" s="69"/>
      <c r="AY34" s="35">
        <v>1</v>
      </c>
    </row>
    <row r="35" spans="1:51" ht="14.65" customHeight="1">
      <c r="Q35" s="28"/>
      <c r="R35" s="28"/>
      <c r="S35" s="739"/>
      <c r="T35" s="10"/>
      <c r="U35" s="720"/>
      <c r="V35" s="1287"/>
      <c r="W35" s="1287"/>
      <c r="X35" s="1287"/>
      <c r="Y35" s="1287"/>
      <c r="Z35" s="1287"/>
      <c r="AA35" s="1287"/>
      <c r="AB35" s="1287"/>
      <c r="AC35" s="1287"/>
      <c r="AD35" s="1287"/>
      <c r="AE35" s="1287"/>
      <c r="AF35" s="1287"/>
      <c r="AG35" s="1287"/>
      <c r="AH35" s="1287"/>
      <c r="AI35" s="1287"/>
      <c r="AJ35" s="1287"/>
      <c r="AK35" s="1287"/>
      <c r="AL35" s="1287"/>
      <c r="AM35" s="1287"/>
      <c r="AN35" s="1287"/>
      <c r="AO35" s="1287"/>
      <c r="AP35" s="1287"/>
      <c r="AQ35" s="1287"/>
      <c r="AY35" s="11">
        <v>14</v>
      </c>
    </row>
    <row r="36" spans="1:51" ht="14.65"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t="s">
        <v>305</v>
      </c>
      <c r="AY36" s="11">
        <v>14</v>
      </c>
    </row>
    <row r="37" spans="1:51" ht="14.65" customHeight="1">
      <c r="Q37" s="28"/>
      <c r="R37" s="28"/>
      <c r="S37" s="1288" t="s">
        <v>88</v>
      </c>
      <c r="T37" s="1237" t="s">
        <v>432</v>
      </c>
      <c r="U37" s="172"/>
      <c r="V37" s="1289" t="s">
        <v>433</v>
      </c>
      <c r="W37" s="1305"/>
      <c r="X37" s="1305"/>
      <c r="Y37" s="1305"/>
      <c r="Z37" s="1305"/>
      <c r="AA37" s="1305"/>
      <c r="AB37" s="1305"/>
      <c r="AC37" s="1290"/>
      <c r="AD37" s="1290"/>
      <c r="AE37" s="1291"/>
      <c r="AF37" s="1292" t="s">
        <v>434</v>
      </c>
      <c r="AG37" s="1289" t="s">
        <v>433</v>
      </c>
      <c r="AH37" s="1290"/>
      <c r="AI37" s="1290"/>
      <c r="AJ37" s="1290"/>
      <c r="AK37" s="1290"/>
      <c r="AL37" s="1290"/>
      <c r="AM37" s="1290"/>
      <c r="AN37" s="1290"/>
      <c r="AO37" s="1290"/>
      <c r="AP37" s="1291"/>
      <c r="AQ37" s="1292" t="s">
        <v>435</v>
      </c>
      <c r="AR37" s="1295" t="s">
        <v>436</v>
      </c>
      <c r="AS37" s="1148"/>
      <c r="AY37" s="11">
        <v>14</v>
      </c>
    </row>
    <row r="38" spans="1:51" ht="19.899999999999999" customHeight="1">
      <c r="Q38" s="28"/>
      <c r="R38" s="28"/>
      <c r="S38" s="1288"/>
      <c r="T38" s="1237"/>
      <c r="U38" s="607"/>
      <c r="V38" s="1148" t="s">
        <v>536</v>
      </c>
      <c r="W38" s="1359" t="s">
        <v>537</v>
      </c>
      <c r="X38" s="1359"/>
      <c r="Y38" s="1359"/>
      <c r="Z38" s="1359" t="s">
        <v>538</v>
      </c>
      <c r="AA38" s="1359"/>
      <c r="AB38" s="1359"/>
      <c r="AC38" s="1208" t="s">
        <v>440</v>
      </c>
      <c r="AD38" s="1317"/>
      <c r="AE38" s="1209"/>
      <c r="AF38" s="1293"/>
      <c r="AG38" s="1148" t="s">
        <v>536</v>
      </c>
      <c r="AH38" s="1359" t="s">
        <v>537</v>
      </c>
      <c r="AI38" s="1359"/>
      <c r="AJ38" s="1359"/>
      <c r="AK38" s="1359" t="s">
        <v>538</v>
      </c>
      <c r="AL38" s="1359"/>
      <c r="AM38" s="1359"/>
      <c r="AN38" s="1208" t="s">
        <v>440</v>
      </c>
      <c r="AO38" s="1317"/>
      <c r="AP38" s="1209"/>
      <c r="AQ38" s="1293"/>
      <c r="AR38" s="1296"/>
      <c r="AS38" s="1148"/>
      <c r="AY38" s="11">
        <v>19</v>
      </c>
    </row>
    <row r="39" spans="1:51" s="11" customFormat="1" ht="19.899999999999999" customHeight="1">
      <c r="A39" s="63"/>
      <c r="B39" s="63"/>
      <c r="C39" s="63"/>
      <c r="D39" s="63"/>
      <c r="E39" s="63"/>
      <c r="F39" s="63"/>
      <c r="G39" s="63"/>
      <c r="H39" s="63"/>
      <c r="I39" s="63"/>
      <c r="J39" s="63"/>
      <c r="K39" s="63"/>
      <c r="L39" s="301"/>
      <c r="M39" s="506"/>
      <c r="N39" s="506"/>
      <c r="O39" s="506"/>
      <c r="P39" s="33"/>
      <c r="Q39" s="28"/>
      <c r="R39" s="28"/>
      <c r="S39" s="1288"/>
      <c r="T39" s="1237"/>
      <c r="U39" s="607"/>
      <c r="V39" s="1148"/>
      <c r="W39" s="1359" t="s">
        <v>539</v>
      </c>
      <c r="X39" s="1359" t="s">
        <v>540</v>
      </c>
      <c r="Y39" s="1359"/>
      <c r="Z39" s="1359" t="s">
        <v>541</v>
      </c>
      <c r="AA39" s="1359" t="s">
        <v>540</v>
      </c>
      <c r="AB39" s="1359"/>
      <c r="AC39" s="1213"/>
      <c r="AD39" s="1318"/>
      <c r="AE39" s="1214"/>
      <c r="AF39" s="1293"/>
      <c r="AG39" s="1148"/>
      <c r="AH39" s="1359" t="s">
        <v>539</v>
      </c>
      <c r="AI39" s="1359" t="s">
        <v>540</v>
      </c>
      <c r="AJ39" s="1359"/>
      <c r="AK39" s="1359" t="s">
        <v>541</v>
      </c>
      <c r="AL39" s="1359" t="s">
        <v>540</v>
      </c>
      <c r="AM39" s="1359"/>
      <c r="AN39" s="1213"/>
      <c r="AO39" s="1318"/>
      <c r="AP39" s="1214"/>
      <c r="AQ39" s="1293"/>
      <c r="AR39" s="1296"/>
      <c r="AS39" s="1148"/>
      <c r="AT39" s="68"/>
      <c r="AU39" s="68"/>
      <c r="AV39" s="68"/>
      <c r="AW39" s="68"/>
      <c r="AX39" s="68"/>
      <c r="AY39" s="11">
        <v>19</v>
      </c>
    </row>
    <row r="40" spans="1:51" ht="61.9" customHeight="1">
      <c r="A40" s="82"/>
      <c r="B40" s="82" t="s">
        <v>141</v>
      </c>
      <c r="C40" s="82" t="s">
        <v>142</v>
      </c>
      <c r="D40" s="82" t="s">
        <v>143</v>
      </c>
      <c r="E40" s="770" t="s">
        <v>441</v>
      </c>
      <c r="F40" s="770" t="s">
        <v>442</v>
      </c>
      <c r="G40" s="770" t="s">
        <v>443</v>
      </c>
      <c r="H40" s="770"/>
      <c r="I40" s="770" t="s">
        <v>494</v>
      </c>
      <c r="J40" s="770" t="s">
        <v>446</v>
      </c>
      <c r="K40" s="770" t="s">
        <v>495</v>
      </c>
      <c r="L40" s="770" t="s">
        <v>422</v>
      </c>
      <c r="Q40" s="28"/>
      <c r="R40" s="28"/>
      <c r="S40" s="1288"/>
      <c r="T40" s="1237"/>
      <c r="U40" s="173"/>
      <c r="V40" s="1148"/>
      <c r="W40" s="1359"/>
      <c r="X40" s="1053" t="s">
        <v>542</v>
      </c>
      <c r="Y40" s="1053" t="s">
        <v>543</v>
      </c>
      <c r="Z40" s="1359"/>
      <c r="AA40" s="1053" t="s">
        <v>544</v>
      </c>
      <c r="AB40" s="1053" t="s">
        <v>545</v>
      </c>
      <c r="AC40" s="39" t="s">
        <v>450</v>
      </c>
      <c r="AD40" s="1242" t="s">
        <v>451</v>
      </c>
      <c r="AE40" s="1255"/>
      <c r="AF40" s="1294"/>
      <c r="AG40" s="1148"/>
      <c r="AH40" s="1359"/>
      <c r="AI40" s="1053" t="s">
        <v>542</v>
      </c>
      <c r="AJ40" s="1053" t="s">
        <v>543</v>
      </c>
      <c r="AK40" s="1359"/>
      <c r="AL40" s="1053" t="s">
        <v>544</v>
      </c>
      <c r="AM40" s="1053" t="s">
        <v>545</v>
      </c>
      <c r="AN40" s="39" t="s">
        <v>450</v>
      </c>
      <c r="AO40" s="1242" t="s">
        <v>451</v>
      </c>
      <c r="AP40" s="1255"/>
      <c r="AQ40" s="1294"/>
      <c r="AR40" s="1297"/>
      <c r="AS40" s="1148"/>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115</v>
      </c>
      <c r="T41" s="726" t="s">
        <v>103</v>
      </c>
      <c r="U41" s="721" t="str">
        <f ca="1">OFFSET(U41,0,-1)</f>
        <v>2</v>
      </c>
      <c r="V41" s="727">
        <f ca="1">OFFSET(V41,0,-1)+1</f>
        <v>3</v>
      </c>
      <c r="W41" s="286"/>
      <c r="X41" s="286"/>
      <c r="Y41" s="286"/>
      <c r="Z41" s="286"/>
      <c r="AA41" s="286"/>
      <c r="AB41" s="286"/>
      <c r="AC41" s="727">
        <f ca="1">OFFSET(AC41,0,-1)+1</f>
        <v>1</v>
      </c>
      <c r="AD41" s="1286">
        <f ca="1">OFFSET(AD41,0,-1)+1</f>
        <v>2</v>
      </c>
      <c r="AE41" s="1286"/>
      <c r="AF41" s="727">
        <f ca="1">OFFSET(AF41,0,-2)+1</f>
        <v>3</v>
      </c>
      <c r="AG41" s="727">
        <f ca="1">OFFSET(AG41,0,-1)+1</f>
        <v>4</v>
      </c>
      <c r="AH41" s="727"/>
      <c r="AI41" s="727"/>
      <c r="AJ41" s="727"/>
      <c r="AK41" s="727"/>
      <c r="AL41" s="727"/>
      <c r="AM41" s="727">
        <f ca="1">OFFSET(AM41,0,-1)+1</f>
        <v>1</v>
      </c>
      <c r="AN41" s="727">
        <f ca="1">OFFSET(AN41,0,-1)+1</f>
        <v>2</v>
      </c>
      <c r="AO41" s="1286">
        <f ca="1">OFFSET(AO41,0,-1)+1</f>
        <v>3</v>
      </c>
      <c r="AP41" s="1286"/>
      <c r="AQ41" s="727">
        <f ca="1">OFFSET(AQ41,0,-2)+1</f>
        <v>4</v>
      </c>
      <c r="AR41" s="721">
        <f ca="1">OFFSET(AR41,0,-1)</f>
        <v>4</v>
      </c>
      <c r="AS41" s="727">
        <f ca="1">OFFSET(AS41,0,-1)+1</f>
        <v>5</v>
      </c>
      <c r="AT41" s="68"/>
      <c r="AU41" s="68"/>
      <c r="AV41" s="68"/>
      <c r="AW41" s="68"/>
      <c r="AX41" s="68"/>
      <c r="AY41" s="203">
        <v>0</v>
      </c>
    </row>
    <row r="42" spans="1:51" ht="24" customHeight="1">
      <c r="A42" s="769" t="s">
        <v>255</v>
      </c>
      <c r="B42" s="769"/>
      <c r="C42" s="769"/>
      <c r="D42" s="769"/>
      <c r="E42" s="1275">
        <v>1</v>
      </c>
      <c r="F42" s="769"/>
      <c r="G42" s="769"/>
      <c r="H42" s="769"/>
      <c r="I42" s="769"/>
      <c r="J42" s="769"/>
      <c r="K42" s="769"/>
      <c r="L42" s="770"/>
      <c r="M42" s="426"/>
      <c r="N42" s="426"/>
      <c r="O42" s="426"/>
      <c r="Q42" s="34"/>
      <c r="R42" s="207"/>
      <c r="S42" s="709">
        <f>INDEX(PT_DIFFERENTIATION_NUM_NTAR,MATCH(A42,PT_DIFFERENTIATION_NTAR_ID,0))</f>
        <v>0</v>
      </c>
      <c r="T42" s="67" t="s">
        <v>129</v>
      </c>
      <c r="U42" s="171"/>
      <c r="V42" s="1269"/>
      <c r="W42" s="1270"/>
      <c r="X42" s="1270"/>
      <c r="Y42" s="1270"/>
      <c r="Z42" s="1270"/>
      <c r="AA42" s="1270"/>
      <c r="AB42" s="1270"/>
      <c r="AC42" s="1270"/>
      <c r="AD42" s="1270"/>
      <c r="AE42" s="1270"/>
      <c r="AF42" s="1271"/>
      <c r="AG42" s="1269" t="str">
        <f>INDEX(PT_DIFFERENTIATION_NTAR,MATCH(A42,PT_DIFFERENTIATION_NTAR_ID,0))</f>
        <v/>
      </c>
      <c r="AH42" s="1270"/>
      <c r="AI42" s="1270"/>
      <c r="AJ42" s="1270"/>
      <c r="AK42" s="1270"/>
      <c r="AL42" s="1270"/>
      <c r="AM42" s="1270"/>
      <c r="AN42" s="1270"/>
      <c r="AO42" s="1270"/>
      <c r="AP42" s="1270"/>
      <c r="AQ42" s="1270"/>
      <c r="AR42" s="1271"/>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255</v>
      </c>
      <c r="B43" s="769" t="s">
        <v>256</v>
      </c>
      <c r="C43" s="769"/>
      <c r="D43" s="769"/>
      <c r="E43" s="1276"/>
      <c r="F43" s="1275">
        <v>1</v>
      </c>
      <c r="G43" s="769"/>
      <c r="H43" s="769"/>
      <c r="I43" s="769"/>
      <c r="J43" s="769"/>
      <c r="K43" s="769"/>
      <c r="L43" s="770"/>
      <c r="M43" s="426"/>
      <c r="N43" s="426"/>
      <c r="O43" s="426"/>
      <c r="P43" s="58"/>
      <c r="Q43" s="204"/>
      <c r="R43" s="205"/>
      <c r="S43" s="709" t="str">
        <f>INDEX(PT_DIFFERENTIATION_NUM_TER,MATCH(B43,PT_DIFFERENTIATION_TER_ID,0))</f>
        <v>.</v>
      </c>
      <c r="T43" s="177" t="s">
        <v>401</v>
      </c>
      <c r="U43" s="171"/>
      <c r="V43" s="1269"/>
      <c r="W43" s="1270"/>
      <c r="X43" s="1270"/>
      <c r="Y43" s="1270"/>
      <c r="Z43" s="1270"/>
      <c r="AA43" s="1270"/>
      <c r="AB43" s="1270"/>
      <c r="AC43" s="1270"/>
      <c r="AD43" s="1270"/>
      <c r="AE43" s="1270"/>
      <c r="AF43" s="1271"/>
      <c r="AG43" s="1269" t="str">
        <f>INDEX(PT_DIFFERENTIATION_TER,MATCH(B43,PT_DIFFERENTIATION_TER_ID,0))</f>
        <v/>
      </c>
      <c r="AH43" s="1270"/>
      <c r="AI43" s="1270"/>
      <c r="AJ43" s="1270"/>
      <c r="AK43" s="1270"/>
      <c r="AL43" s="1270"/>
      <c r="AM43" s="1270"/>
      <c r="AN43" s="1270"/>
      <c r="AO43" s="1270"/>
      <c r="AP43" s="1270"/>
      <c r="AQ43" s="1270"/>
      <c r="AR43" s="1271"/>
      <c r="AS43" s="729" t="s">
        <v>402</v>
      </c>
      <c r="AU43" s="69"/>
      <c r="AV43" s="69" t="str">
        <f t="shared" si="1"/>
        <v>Территория действия тарифа</v>
      </c>
      <c r="AW43" s="69"/>
      <c r="AX43" s="69"/>
      <c r="AY43" s="11">
        <v>23</v>
      </c>
    </row>
    <row r="44" spans="1:51" ht="24" customHeight="1">
      <c r="A44" s="769" t="s">
        <v>255</v>
      </c>
      <c r="B44" s="769" t="s">
        <v>256</v>
      </c>
      <c r="C44" s="769" t="s">
        <v>257</v>
      </c>
      <c r="D44" s="769"/>
      <c r="E44" s="1276"/>
      <c r="F44" s="1276"/>
      <c r="G44" s="1275">
        <v>1</v>
      </c>
      <c r="H44" s="769"/>
      <c r="I44" s="769"/>
      <c r="J44" s="769"/>
      <c r="K44" s="769"/>
      <c r="L44" s="770"/>
      <c r="M44" s="426"/>
      <c r="N44" s="426"/>
      <c r="O44" s="426"/>
      <c r="P44" s="206"/>
      <c r="Q44" s="204"/>
      <c r="R44" s="205"/>
      <c r="S44" s="709" t="str">
        <f>INDEX(PT_DIFFERENTIATION_NUM_CS,MATCH(C44,PT_DIFFERENTIATION_CS_ID,0))</f>
        <v>..</v>
      </c>
      <c r="T44" s="178" t="s">
        <v>534</v>
      </c>
      <c r="U44" s="171"/>
      <c r="V44" s="1269"/>
      <c r="W44" s="1270"/>
      <c r="X44" s="1270"/>
      <c r="Y44" s="1270"/>
      <c r="Z44" s="1270"/>
      <c r="AA44" s="1270"/>
      <c r="AB44" s="1270"/>
      <c r="AC44" s="1270"/>
      <c r="AD44" s="1270"/>
      <c r="AE44" s="1270"/>
      <c r="AF44" s="1271"/>
      <c r="AG44" s="1269" t="str">
        <f>INDEX(PT_DIFFERENTIATION_CS,MATCH(C44,PT_DIFFERENTIATION_CS_ID,0))</f>
        <v/>
      </c>
      <c r="AH44" s="1270"/>
      <c r="AI44" s="1270"/>
      <c r="AJ44" s="1270"/>
      <c r="AK44" s="1270"/>
      <c r="AL44" s="1270"/>
      <c r="AM44" s="1270"/>
      <c r="AN44" s="1270"/>
      <c r="AO44" s="1270"/>
      <c r="AP44" s="1270"/>
      <c r="AQ44" s="1270"/>
      <c r="AR44" s="1271"/>
      <c r="AS44" s="729" t="s">
        <v>535</v>
      </c>
      <c r="AU44" s="69"/>
      <c r="AV44" s="69" t="str">
        <f t="shared" si="1"/>
        <v>Наименование централизованной системы горячего водоснабжения</v>
      </c>
      <c r="AW44" s="69"/>
      <c r="AX44" s="69"/>
      <c r="AY44" s="11">
        <v>23</v>
      </c>
    </row>
    <row r="45" spans="1:51" ht="24" customHeight="1">
      <c r="A45" s="769" t="s">
        <v>255</v>
      </c>
      <c r="B45" s="769" t="s">
        <v>256</v>
      </c>
      <c r="C45" s="769" t="s">
        <v>257</v>
      </c>
      <c r="D45" s="769" t="s">
        <v>546</v>
      </c>
      <c r="E45" s="1276"/>
      <c r="F45" s="1276"/>
      <c r="G45" s="1276"/>
      <c r="H45" s="1276"/>
      <c r="I45" s="1277" t="str">
        <f>S44&amp;".1"</f>
        <v>...1</v>
      </c>
      <c r="J45" s="769"/>
      <c r="K45" s="769"/>
      <c r="L45" s="770"/>
      <c r="P45" s="1279">
        <v>1</v>
      </c>
      <c r="Q45" s="122"/>
      <c r="R45" s="208"/>
      <c r="S45" s="709" t="str">
        <f>$I45</f>
        <v>...1</v>
      </c>
      <c r="T45" s="164" t="s">
        <v>487</v>
      </c>
      <c r="U45" s="171"/>
      <c r="V45" s="1343"/>
      <c r="W45" s="1344"/>
      <c r="X45" s="1344"/>
      <c r="Y45" s="1344"/>
      <c r="Z45" s="1344"/>
      <c r="AA45" s="1344"/>
      <c r="AB45" s="1344"/>
      <c r="AC45" s="1344"/>
      <c r="AD45" s="1344"/>
      <c r="AE45" s="1344"/>
      <c r="AF45" s="1345"/>
      <c r="AG45" s="1346"/>
      <c r="AH45" s="1347"/>
      <c r="AI45" s="1347"/>
      <c r="AJ45" s="1347"/>
      <c r="AK45" s="1347"/>
      <c r="AL45" s="1347"/>
      <c r="AM45" s="1347"/>
      <c r="AN45" s="1347"/>
      <c r="AO45" s="1347"/>
      <c r="AP45" s="1347"/>
      <c r="AQ45" s="1347"/>
      <c r="AR45" s="1348"/>
      <c r="AS45" s="729" t="s">
        <v>488</v>
      </c>
      <c r="AU45" s="69"/>
      <c r="AV45" s="69" t="str">
        <f t="shared" si="1"/>
        <v>Наименование признака дифференциации</v>
      </c>
      <c r="AW45" s="69"/>
      <c r="AX45" s="69"/>
      <c r="AY45" s="11">
        <v>23</v>
      </c>
    </row>
    <row r="46" spans="1:51" ht="24" customHeight="1">
      <c r="A46" s="769" t="s">
        <v>255</v>
      </c>
      <c r="B46" s="769" t="s">
        <v>256</v>
      </c>
      <c r="C46" s="769" t="s">
        <v>257</v>
      </c>
      <c r="D46" s="769" t="s">
        <v>546</v>
      </c>
      <c r="E46" s="1276"/>
      <c r="F46" s="1276"/>
      <c r="G46" s="1276"/>
      <c r="H46" s="1276"/>
      <c r="I46" s="1278"/>
      <c r="J46" s="1277" t="str">
        <f>I45&amp;".1"</f>
        <v>...1.1</v>
      </c>
      <c r="K46" s="769"/>
      <c r="L46" s="770" t="s">
        <v>410</v>
      </c>
      <c r="P46" s="1279"/>
      <c r="Q46" s="1279">
        <v>1</v>
      </c>
      <c r="R46" s="209"/>
      <c r="S46" s="709" t="str">
        <f>$J46</f>
        <v>...1.1</v>
      </c>
      <c r="T46" s="165" t="s">
        <v>411</v>
      </c>
      <c r="U46" s="171"/>
      <c r="V46" s="1263"/>
      <c r="W46" s="1264"/>
      <c r="X46" s="1264"/>
      <c r="Y46" s="1264"/>
      <c r="Z46" s="1264"/>
      <c r="AA46" s="1264"/>
      <c r="AB46" s="1264"/>
      <c r="AC46" s="1264"/>
      <c r="AD46" s="1264"/>
      <c r="AE46" s="1264"/>
      <c r="AF46" s="1265"/>
      <c r="AG46" s="1263"/>
      <c r="AH46" s="1264"/>
      <c r="AI46" s="1264"/>
      <c r="AJ46" s="1264"/>
      <c r="AK46" s="1264"/>
      <c r="AL46" s="1264"/>
      <c r="AM46" s="1264"/>
      <c r="AN46" s="1264"/>
      <c r="AO46" s="1264"/>
      <c r="AP46" s="1264"/>
      <c r="AQ46" s="1264"/>
      <c r="AR46" s="1265"/>
      <c r="AS46" s="753" t="s">
        <v>489</v>
      </c>
      <c r="AU46" s="69"/>
      <c r="AV46" s="69" t="str">
        <f t="shared" si="1"/>
        <v>Группа потребителей</v>
      </c>
      <c r="AW46" s="69"/>
      <c r="AX46" s="69"/>
      <c r="AY46" s="11">
        <v>23</v>
      </c>
    </row>
    <row r="47" spans="1:51" ht="24" customHeight="1">
      <c r="A47" s="769" t="s">
        <v>255</v>
      </c>
      <c r="B47" s="769" t="s">
        <v>256</v>
      </c>
      <c r="C47" s="769" t="s">
        <v>257</v>
      </c>
      <c r="D47" s="769" t="s">
        <v>546</v>
      </c>
      <c r="E47" s="1276"/>
      <c r="F47" s="1276"/>
      <c r="G47" s="1276"/>
      <c r="H47" s="1276"/>
      <c r="I47" s="1278"/>
      <c r="J47" s="1278"/>
      <c r="K47" s="1277" t="str">
        <f>J46&amp;".1"</f>
        <v>...1.1.1</v>
      </c>
      <c r="L47" s="770"/>
      <c r="P47" s="1279"/>
      <c r="Q47" s="1279"/>
      <c r="R47" s="209">
        <v>1</v>
      </c>
      <c r="S47" s="709" t="str">
        <f>$K47</f>
        <v>...1.1.1</v>
      </c>
      <c r="T47" s="812"/>
      <c r="U47" s="171"/>
      <c r="V47" s="306"/>
      <c r="W47" s="306"/>
      <c r="X47" s="306"/>
      <c r="Y47" s="306"/>
      <c r="Z47" s="306"/>
      <c r="AA47" s="306"/>
      <c r="AB47" s="306"/>
      <c r="AC47" s="1273"/>
      <c r="AD47" s="1272" t="s">
        <v>66</v>
      </c>
      <c r="AE47" s="1273"/>
      <c r="AF47" s="1272" t="s">
        <v>66</v>
      </c>
      <c r="AG47" s="306"/>
      <c r="AH47" s="306"/>
      <c r="AI47" s="306"/>
      <c r="AJ47" s="306"/>
      <c r="AK47" s="306"/>
      <c r="AL47" s="306"/>
      <c r="AM47" s="306"/>
      <c r="AN47" s="1280"/>
      <c r="AO47" s="1158" t="s">
        <v>66</v>
      </c>
      <c r="AP47" s="1282"/>
      <c r="AQ47" s="1158" t="s">
        <v>19</v>
      </c>
      <c r="AR47" s="813"/>
      <c r="AS4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255</v>
      </c>
      <c r="B48" s="769" t="s">
        <v>256</v>
      </c>
      <c r="C48" s="769" t="s">
        <v>257</v>
      </c>
      <c r="D48" s="769" t="s">
        <v>546</v>
      </c>
      <c r="E48" s="1276"/>
      <c r="F48" s="1276"/>
      <c r="G48" s="1276"/>
      <c r="H48" s="1276"/>
      <c r="I48" s="1278"/>
      <c r="J48" s="1278"/>
      <c r="K48" s="1277"/>
      <c r="L48" s="770"/>
      <c r="P48" s="1279"/>
      <c r="Q48" s="1279"/>
      <c r="R48" s="209"/>
      <c r="S48" s="65"/>
      <c r="T48" s="171"/>
      <c r="U48" s="171"/>
      <c r="V48" s="368"/>
      <c r="W48" s="368"/>
      <c r="X48" s="368"/>
      <c r="Y48" s="368"/>
      <c r="Z48" s="368"/>
      <c r="AA48" s="368"/>
      <c r="AB48" s="368"/>
      <c r="AC48" s="1272"/>
      <c r="AD48" s="1272"/>
      <c r="AE48" s="1272"/>
      <c r="AF48" s="1272"/>
      <c r="AG48" s="191"/>
      <c r="AH48" s="191"/>
      <c r="AI48" s="191"/>
      <c r="AJ48" s="191"/>
      <c r="AK48" s="191"/>
      <c r="AL48" s="191"/>
      <c r="AM48" s="191"/>
      <c r="AN48" s="1281"/>
      <c r="AO48" s="1158"/>
      <c r="AP48" s="1283"/>
      <c r="AQ48" s="1158"/>
      <c r="AR48" s="388"/>
      <c r="AS48" s="1349"/>
      <c r="AU48" s="69"/>
      <c r="AV48" s="69" t="str">
        <f t="shared" si="1"/>
        <v/>
      </c>
      <c r="AW48" s="69"/>
      <c r="AX48" s="69"/>
      <c r="AY48" s="11">
        <v>0</v>
      </c>
    </row>
    <row r="49" spans="1:51" ht="21" customHeight="1">
      <c r="A49" s="769" t="s">
        <v>255</v>
      </c>
      <c r="B49" s="769" t="s">
        <v>256</v>
      </c>
      <c r="C49" s="769" t="s">
        <v>257</v>
      </c>
      <c r="D49" s="769" t="s">
        <v>546</v>
      </c>
      <c r="E49" s="1276"/>
      <c r="F49" s="1276"/>
      <c r="G49" s="1276"/>
      <c r="H49" s="1276"/>
      <c r="I49" s="1278"/>
      <c r="J49" s="1277"/>
      <c r="K49" s="769"/>
      <c r="L49" s="770"/>
      <c r="P49" s="1279"/>
      <c r="Q49" s="1279"/>
      <c r="R49" s="208"/>
      <c r="S49" s="742"/>
      <c r="T49" s="166" t="s">
        <v>490</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491</v>
      </c>
      <c r="AU49" s="69"/>
      <c r="AV49" s="69" t="str">
        <f t="shared" si="1"/>
        <v>Добавить значение признака дифференциации</v>
      </c>
      <c r="AW49" s="69"/>
      <c r="AX49" s="69"/>
      <c r="AY49" s="11">
        <v>20</v>
      </c>
    </row>
    <row r="50" spans="1:51" ht="21.95" customHeight="1">
      <c r="A50" s="769" t="s">
        <v>255</v>
      </c>
      <c r="B50" s="769" t="s">
        <v>256</v>
      </c>
      <c r="C50" s="769" t="s">
        <v>257</v>
      </c>
      <c r="D50" s="769" t="s">
        <v>546</v>
      </c>
      <c r="E50" s="1276"/>
      <c r="F50" s="1276"/>
      <c r="G50" s="1276"/>
      <c r="H50" s="1276"/>
      <c r="I50" s="1277"/>
      <c r="J50" s="769"/>
      <c r="K50" s="769"/>
      <c r="L50" s="770"/>
      <c r="P50" s="1279"/>
      <c r="Q50" s="122"/>
      <c r="R50" s="208"/>
      <c r="S50" s="742"/>
      <c r="T50" s="211" t="s">
        <v>416</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255</v>
      </c>
      <c r="B51" s="769" t="s">
        <v>256</v>
      </c>
      <c r="C51" s="769" t="s">
        <v>257</v>
      </c>
      <c r="D51" s="769" t="s">
        <v>546</v>
      </c>
      <c r="E51" s="1276"/>
      <c r="F51" s="1276"/>
      <c r="G51" s="1276"/>
      <c r="H51" s="1275"/>
      <c r="I51" s="769"/>
      <c r="J51" s="769"/>
      <c r="K51" s="769"/>
      <c r="L51" s="770"/>
      <c r="M51" s="426"/>
      <c r="N51" s="426"/>
      <c r="O51" s="63"/>
      <c r="P51" s="34"/>
      <c r="Q51" s="216"/>
      <c r="R51" s="207"/>
      <c r="S51" s="742"/>
      <c r="T51" s="107" t="s">
        <v>492</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255</v>
      </c>
      <c r="B52" s="145" t="s">
        <v>256</v>
      </c>
      <c r="C52" s="145"/>
      <c r="D52" s="145"/>
      <c r="E52" s="1276"/>
      <c r="F52" s="1275"/>
      <c r="G52" s="145"/>
      <c r="H52" s="145"/>
      <c r="I52" s="145"/>
      <c r="J52" s="145"/>
      <c r="K52" s="145"/>
      <c r="L52" s="346"/>
      <c r="M52" s="759"/>
      <c r="N52" s="759"/>
      <c r="P52" s="104"/>
      <c r="Q52" s="755"/>
      <c r="R52" s="104"/>
      <c r="S52" s="760"/>
      <c r="T52" s="762" t="s">
        <v>419</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255</v>
      </c>
      <c r="B53" s="145"/>
      <c r="C53" s="145"/>
      <c r="D53" s="145"/>
      <c r="E53" s="1275"/>
      <c r="F53" s="145"/>
      <c r="G53" s="145"/>
      <c r="H53" s="145"/>
      <c r="I53" s="145"/>
      <c r="J53" s="145"/>
      <c r="K53" s="145"/>
      <c r="L53" s="346"/>
      <c r="M53" s="759"/>
      <c r="N53" s="759"/>
      <c r="P53" s="104"/>
      <c r="Q53" s="755"/>
      <c r="R53" s="104"/>
      <c r="S53" s="760"/>
      <c r="T53" s="762" t="s">
        <v>420</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452</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Y56" s="11">
        <v>14</v>
      </c>
    </row>
    <row r="57" spans="1:51" ht="14.65" customHeight="1">
      <c r="O57" s="63"/>
      <c r="AY57" s="11">
        <v>14</v>
      </c>
    </row>
    <row r="58" spans="1:51" ht="14.65" customHeight="1">
      <c r="O58" s="63"/>
      <c r="S58" s="198"/>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19E97-8943-82C7-A424-01AD7327D54B}">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129</v>
      </c>
      <c r="U2" s="171"/>
      <c r="V2" s="1269"/>
      <c r="W2" s="1270"/>
      <c r="X2" s="1270"/>
      <c r="Y2" s="1270"/>
      <c r="Z2" s="1270"/>
      <c r="AA2" s="1270"/>
      <c r="AB2" s="1270"/>
      <c r="AC2" s="1270"/>
      <c r="AD2" s="1270"/>
      <c r="AE2" s="1270"/>
      <c r="AF2" s="1271"/>
      <c r="AG2" s="1269" t="e">
        <f>INDEX(PT_DIFFERENTIATION_NTAR,MATCH(A2,PT_DIFFERENTIATION_NTAR_ID,0))</f>
        <v>#N/A</v>
      </c>
      <c r="AH2" s="1270"/>
      <c r="AI2" s="1270"/>
      <c r="AJ2" s="1270"/>
      <c r="AK2" s="1270"/>
      <c r="AL2" s="1270"/>
      <c r="AM2" s="1270"/>
      <c r="AN2" s="1270"/>
      <c r="AO2" s="1270"/>
      <c r="AP2" s="1270"/>
      <c r="AQ2" s="1270"/>
      <c r="AR2" s="1271"/>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401</v>
      </c>
      <c r="U3" s="171"/>
      <c r="V3" s="1269"/>
      <c r="W3" s="1270"/>
      <c r="X3" s="1270"/>
      <c r="Y3" s="1270"/>
      <c r="Z3" s="1270"/>
      <c r="AA3" s="1270"/>
      <c r="AB3" s="1270"/>
      <c r="AC3" s="1270"/>
      <c r="AD3" s="1270"/>
      <c r="AE3" s="1270"/>
      <c r="AF3" s="1271"/>
      <c r="AG3" s="1269" t="e">
        <f>INDEX(PT_DIFFERENTIATION_TER,MATCH(B3,PT_DIFFERENTIATION_TER_ID,0))</f>
        <v>#N/A</v>
      </c>
      <c r="AH3" s="1270"/>
      <c r="AI3" s="1270"/>
      <c r="AJ3" s="1270"/>
      <c r="AK3" s="1270"/>
      <c r="AL3" s="1270"/>
      <c r="AM3" s="1270"/>
      <c r="AN3" s="1270"/>
      <c r="AO3" s="1270"/>
      <c r="AP3" s="1270"/>
      <c r="AQ3" s="1270"/>
      <c r="AR3" s="1271"/>
      <c r="AS3" s="729" t="s">
        <v>402</v>
      </c>
      <c r="AU3" s="69"/>
      <c r="AV3" s="69" t="str">
        <f t="shared" si="0"/>
        <v>Территория действия тарифа</v>
      </c>
      <c r="AW3" s="69"/>
      <c r="AX3" s="69"/>
      <c r="AY3" s="11">
        <v>0</v>
      </c>
    </row>
    <row r="4" spans="1:51"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534</v>
      </c>
      <c r="U4" s="171"/>
      <c r="V4" s="1269"/>
      <c r="W4" s="1270"/>
      <c r="X4" s="1270"/>
      <c r="Y4" s="1270"/>
      <c r="Z4" s="1270"/>
      <c r="AA4" s="1270"/>
      <c r="AB4" s="1270"/>
      <c r="AC4" s="1270"/>
      <c r="AD4" s="1270"/>
      <c r="AE4" s="1270"/>
      <c r="AF4" s="1271"/>
      <c r="AG4" s="1269" t="e">
        <f>INDEX(PT_DIFFERENTIATION_CS,MATCH(C4,PT_DIFFERENTIATION_CS_ID,0))</f>
        <v>#N/A</v>
      </c>
      <c r="AH4" s="1270"/>
      <c r="AI4" s="1270"/>
      <c r="AJ4" s="1270"/>
      <c r="AK4" s="1270"/>
      <c r="AL4" s="1270"/>
      <c r="AM4" s="1270"/>
      <c r="AN4" s="1270"/>
      <c r="AO4" s="1270"/>
      <c r="AP4" s="1270"/>
      <c r="AQ4" s="1270"/>
      <c r="AR4" s="1271"/>
      <c r="AS4" s="729" t="s">
        <v>535</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6"/>
      <c r="F5" s="1276"/>
      <c r="G5" s="1276"/>
      <c r="H5" s="1276"/>
      <c r="I5" s="1277" t="e">
        <f>S4&amp;".1"</f>
        <v>#N/A</v>
      </c>
      <c r="J5" s="769"/>
      <c r="K5" s="769"/>
      <c r="L5" s="770"/>
      <c r="P5" s="1279">
        <v>1</v>
      </c>
      <c r="Q5" s="122"/>
      <c r="R5" s="208"/>
      <c r="S5" s="709" t="e">
        <f>$I5</f>
        <v>#N/A</v>
      </c>
      <c r="T5" s="164" t="s">
        <v>487</v>
      </c>
      <c r="U5" s="171"/>
      <c r="V5" s="1343"/>
      <c r="W5" s="1344"/>
      <c r="X5" s="1344"/>
      <c r="Y5" s="1344"/>
      <c r="Z5" s="1344"/>
      <c r="AA5" s="1344"/>
      <c r="AB5" s="1344"/>
      <c r="AC5" s="1344"/>
      <c r="AD5" s="1344"/>
      <c r="AE5" s="1344"/>
      <c r="AF5" s="1345"/>
      <c r="AG5" s="1346"/>
      <c r="AH5" s="1347"/>
      <c r="AI5" s="1347"/>
      <c r="AJ5" s="1347"/>
      <c r="AK5" s="1347"/>
      <c r="AL5" s="1347"/>
      <c r="AM5" s="1347"/>
      <c r="AN5" s="1347"/>
      <c r="AO5" s="1347"/>
      <c r="AP5" s="1347"/>
      <c r="AQ5" s="1347"/>
      <c r="AR5" s="1348"/>
      <c r="AS5" s="729" t="s">
        <v>488</v>
      </c>
      <c r="AU5" s="69"/>
      <c r="AV5" s="69" t="str">
        <f t="shared" si="0"/>
        <v>Наименование признака дифференциации</v>
      </c>
      <c r="AW5" s="69"/>
      <c r="AX5" s="69"/>
      <c r="AY5" s="11">
        <v>0</v>
      </c>
    </row>
    <row r="6" spans="1:51" ht="23.25" hidden="1" customHeight="1">
      <c r="A6" s="769"/>
      <c r="B6" s="769"/>
      <c r="C6" s="769"/>
      <c r="D6" s="769"/>
      <c r="E6" s="1276"/>
      <c r="F6" s="1276"/>
      <c r="G6" s="1276"/>
      <c r="H6" s="1276"/>
      <c r="I6" s="1278"/>
      <c r="J6" s="1277" t="e">
        <f>I5&amp;".1"</f>
        <v>#N/A</v>
      </c>
      <c r="K6" s="769"/>
      <c r="L6" s="770" t="s">
        <v>410</v>
      </c>
      <c r="P6" s="1279"/>
      <c r="Q6" s="1279">
        <v>1</v>
      </c>
      <c r="R6" s="209"/>
      <c r="S6" s="709" t="e">
        <f>$J6</f>
        <v>#N/A</v>
      </c>
      <c r="T6" s="165" t="s">
        <v>411</v>
      </c>
      <c r="U6" s="171"/>
      <c r="V6" s="1263"/>
      <c r="W6" s="1264"/>
      <c r="X6" s="1264"/>
      <c r="Y6" s="1264"/>
      <c r="Z6" s="1264"/>
      <c r="AA6" s="1264"/>
      <c r="AB6" s="1264"/>
      <c r="AC6" s="1264"/>
      <c r="AD6" s="1264"/>
      <c r="AE6" s="1264"/>
      <c r="AF6" s="1265"/>
      <c r="AG6" s="1263"/>
      <c r="AH6" s="1264"/>
      <c r="AI6" s="1264"/>
      <c r="AJ6" s="1264"/>
      <c r="AK6" s="1264"/>
      <c r="AL6" s="1264"/>
      <c r="AM6" s="1264"/>
      <c r="AN6" s="1264"/>
      <c r="AO6" s="1264"/>
      <c r="AP6" s="1264"/>
      <c r="AQ6" s="1264"/>
      <c r="AR6" s="1265"/>
      <c r="AS6" s="753" t="s">
        <v>489</v>
      </c>
      <c r="AU6" s="69"/>
      <c r="AV6" s="69" t="str">
        <f t="shared" si="0"/>
        <v>Группа потребителей</v>
      </c>
      <c r="AW6" s="69"/>
      <c r="AX6" s="69"/>
      <c r="AY6" s="11">
        <v>0</v>
      </c>
    </row>
    <row r="7" spans="1:51"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306"/>
      <c r="Y7" s="306"/>
      <c r="Z7" s="306"/>
      <c r="AA7" s="306"/>
      <c r="AB7" s="728"/>
      <c r="AC7" s="1280"/>
      <c r="AD7" s="1158" t="s">
        <v>66</v>
      </c>
      <c r="AE7" s="1280"/>
      <c r="AF7" s="1158" t="s">
        <v>66</v>
      </c>
      <c r="AG7" s="306"/>
      <c r="AH7" s="306"/>
      <c r="AI7" s="306"/>
      <c r="AJ7" s="306"/>
      <c r="AK7" s="306"/>
      <c r="AL7" s="306"/>
      <c r="AM7" s="728"/>
      <c r="AN7" s="1280"/>
      <c r="AO7" s="1158" t="s">
        <v>66</v>
      </c>
      <c r="AP7" s="1282"/>
      <c r="AQ7" s="1158" t="s">
        <v>66</v>
      </c>
      <c r="AR7" s="813"/>
      <c r="AS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6"/>
      <c r="F8" s="1276"/>
      <c r="G8" s="1276"/>
      <c r="H8" s="1276"/>
      <c r="I8" s="1278"/>
      <c r="J8" s="1278"/>
      <c r="K8" s="1277"/>
      <c r="L8" s="770"/>
      <c r="P8" s="1279"/>
      <c r="Q8" s="1279"/>
      <c r="R8" s="209"/>
      <c r="S8" s="65"/>
      <c r="T8" s="171"/>
      <c r="U8" s="171"/>
      <c r="V8" s="191"/>
      <c r="W8" s="191"/>
      <c r="X8" s="191"/>
      <c r="Y8" s="191"/>
      <c r="Z8" s="191"/>
      <c r="AA8" s="191"/>
      <c r="AB8" s="192" t="str">
        <f>AC7&amp;"-"&amp;AE7</f>
        <v>-</v>
      </c>
      <c r="AC8" s="1281"/>
      <c r="AD8" s="1158"/>
      <c r="AE8" s="1281"/>
      <c r="AF8" s="1158"/>
      <c r="AG8" s="191"/>
      <c r="AH8" s="191"/>
      <c r="AI8" s="191"/>
      <c r="AJ8" s="191"/>
      <c r="AK8" s="191"/>
      <c r="AL8" s="191"/>
      <c r="AM8" s="192" t="str">
        <f>AN7&amp;"-"&amp;AP7</f>
        <v>-</v>
      </c>
      <c r="AN8" s="1281"/>
      <c r="AO8" s="1158"/>
      <c r="AP8" s="1283"/>
      <c r="AQ8" s="1158"/>
      <c r="AR8" s="388"/>
      <c r="AS8" s="1349"/>
      <c r="AU8" s="69"/>
      <c r="AV8" s="69" t="str">
        <f t="shared" si="0"/>
        <v/>
      </c>
      <c r="AW8" s="69"/>
      <c r="AX8" s="69"/>
      <c r="AY8" s="11">
        <v>0</v>
      </c>
    </row>
    <row r="9" spans="1:51" ht="21" hidden="1" customHeight="1">
      <c r="A9" s="769"/>
      <c r="B9" s="769"/>
      <c r="C9" s="769"/>
      <c r="D9" s="769"/>
      <c r="E9" s="1276"/>
      <c r="F9" s="1276"/>
      <c r="G9" s="1276"/>
      <c r="H9" s="1276"/>
      <c r="I9" s="1278"/>
      <c r="J9" s="1277"/>
      <c r="K9" s="769"/>
      <c r="L9" s="770"/>
      <c r="P9" s="1279"/>
      <c r="Q9" s="1279"/>
      <c r="R9" s="208"/>
      <c r="S9" s="742"/>
      <c r="T9" s="166" t="s">
        <v>490</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491</v>
      </c>
      <c r="AU9" s="69"/>
      <c r="AV9" s="69" t="str">
        <f t="shared" si="0"/>
        <v>Добавить значение признака дифференциации</v>
      </c>
      <c r="AW9" s="69"/>
      <c r="AX9" s="69"/>
      <c r="AY9" s="11">
        <v>0</v>
      </c>
    </row>
    <row r="10" spans="1:51" ht="21" hidden="1" customHeight="1">
      <c r="A10" s="769"/>
      <c r="B10" s="769"/>
      <c r="C10" s="769"/>
      <c r="D10" s="769"/>
      <c r="E10" s="1276"/>
      <c r="F10" s="1276"/>
      <c r="G10" s="1276"/>
      <c r="H10" s="1276"/>
      <c r="I10" s="1277"/>
      <c r="J10" s="769"/>
      <c r="K10" s="769"/>
      <c r="L10" s="770"/>
      <c r="P10" s="1279"/>
      <c r="Q10" s="122"/>
      <c r="R10" s="208"/>
      <c r="S10" s="742"/>
      <c r="T10" s="211" t="s">
        <v>416</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6"/>
      <c r="F11" s="1276"/>
      <c r="G11" s="1276"/>
      <c r="H11" s="1275"/>
      <c r="I11" s="769"/>
      <c r="J11" s="769"/>
      <c r="K11" s="769"/>
      <c r="L11" s="770"/>
      <c r="M11" s="426"/>
      <c r="N11" s="426"/>
      <c r="O11" s="63"/>
      <c r="P11" s="34"/>
      <c r="Q11" s="216"/>
      <c r="R11" s="207"/>
      <c r="S11" s="742"/>
      <c r="T11" s="107" t="s">
        <v>492</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419</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420</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73"/>
      <c r="AO15" s="1272" t="s">
        <v>66</v>
      </c>
      <c r="AP15" s="1273"/>
      <c r="AQ15" s="1272" t="s">
        <v>66</v>
      </c>
      <c r="AY15" s="11">
        <v>0</v>
      </c>
    </row>
    <row r="16" spans="1:51" ht="14.25" hidden="1" customHeight="1">
      <c r="AG16" s="368"/>
      <c r="AH16" s="368"/>
      <c r="AI16" s="368"/>
      <c r="AJ16" s="368"/>
      <c r="AK16" s="368"/>
      <c r="AL16" s="368"/>
      <c r="AM16" s="192" t="str">
        <f>AN15&amp;"-"&amp;AP15</f>
        <v>-</v>
      </c>
      <c r="AN16" s="1272"/>
      <c r="AO16" s="1272"/>
      <c r="AP16" s="1272"/>
      <c r="AQ16" s="1272"/>
      <c r="AY16" s="11">
        <v>0</v>
      </c>
    </row>
    <row r="17" spans="1:51" ht="14.25" hidden="1" customHeight="1">
      <c r="AY17" s="11">
        <v>0</v>
      </c>
    </row>
    <row r="18" spans="1:51" s="63" customFormat="1" ht="22.5" hidden="1" customHeight="1">
      <c r="L18" s="301"/>
      <c r="M18" s="506"/>
      <c r="N18" s="506"/>
      <c r="O18" s="771" t="s">
        <v>421</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422</v>
      </c>
      <c r="P20" s="506"/>
      <c r="Q20" s="815"/>
      <c r="R20" s="815"/>
      <c r="S20" s="426"/>
      <c r="T20" s="63" t="s">
        <v>423</v>
      </c>
      <c r="AD20" s="82" t="s">
        <v>424</v>
      </c>
      <c r="AF20" s="82" t="s">
        <v>425</v>
      </c>
      <c r="AG20" s="63" t="s">
        <v>423</v>
      </c>
      <c r="AO20" s="82" t="s">
        <v>426</v>
      </c>
      <c r="AQ20" s="82" t="s">
        <v>425</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5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59"/>
      <c r="AY24" s="11">
        <v>25</v>
      </c>
    </row>
    <row r="25" spans="1:51" ht="14.65" customHeight="1">
      <c r="Q25" s="28"/>
      <c r="R25" s="28"/>
      <c r="S25" s="1229" t="str">
        <f>IF(org=0,"Не определено",org)</f>
        <v>ООО "Инженерные сети"</v>
      </c>
      <c r="T25" s="1229"/>
      <c r="U25" s="1229"/>
      <c r="V25" s="1229"/>
      <c r="W25" s="1229"/>
      <c r="X25" s="1229"/>
      <c r="Y25" s="1229"/>
      <c r="Z25" s="1229"/>
      <c r="AA25" s="1229"/>
      <c r="AB25" s="1229"/>
      <c r="AC25" s="1229"/>
      <c r="AD25" s="1229"/>
      <c r="AE25" s="1229"/>
      <c r="AF25" s="1229"/>
      <c r="AG25" s="1229"/>
      <c r="AH25" s="1229"/>
      <c r="AI25" s="1229"/>
      <c r="AJ25" s="1229"/>
      <c r="AK25" s="1229"/>
      <c r="AL25" s="1229"/>
      <c r="AM25" s="1229"/>
      <c r="AN25" s="1229"/>
      <c r="AO25" s="1229"/>
      <c r="AP25" s="1229"/>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268"/>
      <c r="AC27" s="1268"/>
      <c r="AD27" s="1268"/>
      <c r="AE27" s="1268"/>
      <c r="AF27" s="11"/>
      <c r="AG27" s="1268" t="str">
        <f>IF(TITLE_NAME_OR_PR_CHANGE="",IF(TITLE_NAME_OR_PR="","",TITLE_NAME_OR_PR),TITLE_NAME_OR_PR_CHANGE)</f>
        <v/>
      </c>
      <c r="AH27" s="1268"/>
      <c r="AI27" s="1268"/>
      <c r="AJ27" s="1268"/>
      <c r="AK27" s="1268"/>
      <c r="AL27" s="1268"/>
      <c r="AM27" s="1268"/>
      <c r="AN27" s="1268"/>
      <c r="AO27" s="1268"/>
      <c r="AP27" s="1268"/>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6" t="s">
        <v>427</v>
      </c>
      <c r="T28" s="1266"/>
      <c r="U28" s="773"/>
      <c r="V28" s="1267" t="str">
        <f>IF(TITLE_DATE_PR_CHANGE="",IF(TITLE_DATE_PR="","",TITLE_DATE_PR),TITLE_DATE_PR_CHANGE)</f>
        <v/>
      </c>
      <c r="W28" s="1267"/>
      <c r="X28" s="1267"/>
      <c r="Y28" s="1267"/>
      <c r="Z28" s="1267"/>
      <c r="AA28" s="1267"/>
      <c r="AB28" s="1267"/>
      <c r="AC28" s="1267"/>
      <c r="AD28" s="1267"/>
      <c r="AE28" s="1267"/>
      <c r="AF28" s="11"/>
      <c r="AG28" s="1267" t="str">
        <f>IF(TITLE_DATE_PR_CHANGE="",IF(TITLE_DATE_PR="","",TITLE_DATE_PR),TITLE_DATE_PR_CHANGE)</f>
        <v/>
      </c>
      <c r="AH28" s="1267"/>
      <c r="AI28" s="1267"/>
      <c r="AJ28" s="1267"/>
      <c r="AK28" s="1267"/>
      <c r="AL28" s="1267"/>
      <c r="AM28" s="1267"/>
      <c r="AN28" s="1267"/>
      <c r="AO28" s="1267"/>
      <c r="AP28" s="1267"/>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6" t="s">
        <v>428</v>
      </c>
      <c r="T29" s="1266"/>
      <c r="U29" s="773"/>
      <c r="V29" s="1268" t="str">
        <f>IF(TITLE_NUMBER_PR_CHANGE="",IF(TITLE_NUMBER_PR="","",TITLE_NUMBER_PR),TITLE_NUMBER_PR_CHANGE)</f>
        <v/>
      </c>
      <c r="W29" s="1268"/>
      <c r="X29" s="1268"/>
      <c r="Y29" s="1268"/>
      <c r="Z29" s="1268"/>
      <c r="AA29" s="1268"/>
      <c r="AB29" s="1268"/>
      <c r="AC29" s="1268"/>
      <c r="AD29" s="1268"/>
      <c r="AE29" s="1268"/>
      <c r="AF29" s="11"/>
      <c r="AG29" s="1268" t="str">
        <f>IF(TITLE_NUMBER_PR_CHANGE="",IF(TITLE_NUMBER_PR="","",TITLE_NUMBER_PR),TITLE_NUMBER_PR_CHANGE)</f>
        <v/>
      </c>
      <c r="AH29" s="1268"/>
      <c r="AI29" s="1268"/>
      <c r="AJ29" s="1268"/>
      <c r="AK29" s="1268"/>
      <c r="AL29" s="1268"/>
      <c r="AM29" s="1268"/>
      <c r="AN29" s="1268"/>
      <c r="AO29" s="1268"/>
      <c r="AP29" s="1268"/>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268"/>
      <c r="AC30" s="1268"/>
      <c r="AD30" s="1268"/>
      <c r="AE30" s="1268"/>
      <c r="AF30" s="11"/>
      <c r="AG30" s="1268" t="str">
        <f>IF(TITLE_IST_PUB_CHANGE="",IF(TITLE_IST_PUB="","",TITLE_IST_PUB),TITLE_IST_PUB_CHANGE)</f>
        <v/>
      </c>
      <c r="AH30" s="1268"/>
      <c r="AI30" s="1268"/>
      <c r="AJ30" s="1268"/>
      <c r="AK30" s="1268"/>
      <c r="AL30" s="1268"/>
      <c r="AM30" s="1268"/>
      <c r="AN30" s="1268"/>
      <c r="AO30" s="1268"/>
      <c r="AP30" s="1268"/>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6" t="s">
        <v>429</v>
      </c>
      <c r="T32" s="1266"/>
      <c r="U32" s="773"/>
      <c r="V32" s="1267" t="str">
        <f>IF(TITLE_DATE_PR_CHANGE="",IF(TITLE_DATE_PR="","",TITLE_DATE_PR),TITLE_DATE_PR_CHANGE)</f>
        <v/>
      </c>
      <c r="W32" s="1267"/>
      <c r="X32" s="1267"/>
      <c r="Y32" s="1267"/>
      <c r="Z32" s="1267"/>
      <c r="AA32" s="1267"/>
      <c r="AB32" s="1267"/>
      <c r="AC32" s="1267"/>
      <c r="AD32" s="1267"/>
      <c r="AE32" s="1267"/>
      <c r="AF32" s="11"/>
      <c r="AG32" s="1267" t="str">
        <f>IF(TITLE_DATE_PR_CHANGE="",IF(TITLE_DATE_PR="","",TITLE_DATE_PR),TITLE_DATE_PR_CHANGE)</f>
        <v/>
      </c>
      <c r="AH32" s="1267"/>
      <c r="AI32" s="1267"/>
      <c r="AJ32" s="1267"/>
      <c r="AK32" s="1267"/>
      <c r="AL32" s="1267"/>
      <c r="AM32" s="1267"/>
      <c r="AN32" s="1267"/>
      <c r="AO32" s="1267"/>
      <c r="AP32" s="1267"/>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6" t="s">
        <v>430</v>
      </c>
      <c r="T33" s="1266"/>
      <c r="U33" s="773"/>
      <c r="V33" s="1268" t="str">
        <f>IF(TITLE_NUMBER_PR_CHANGE="",IF(TITLE_NUMBER_PR="","",TITLE_NUMBER_PR),TITLE_NUMBER_PR_CHANGE)</f>
        <v/>
      </c>
      <c r="W33" s="1268"/>
      <c r="X33" s="1268"/>
      <c r="Y33" s="1268"/>
      <c r="Z33" s="1268"/>
      <c r="AA33" s="1268"/>
      <c r="AB33" s="1268"/>
      <c r="AC33" s="1268"/>
      <c r="AD33" s="1268"/>
      <c r="AE33" s="1268"/>
      <c r="AF33" s="11"/>
      <c r="AG33" s="1268" t="str">
        <f>IF(TITLE_NUMBER_PR_CHANGE="",IF(TITLE_NUMBER_PR="","",TITLE_NUMBER_PR),TITLE_NUMBER_PR_CHANGE)</f>
        <v/>
      </c>
      <c r="AH33" s="1268"/>
      <c r="AI33" s="1268"/>
      <c r="AJ33" s="1268"/>
      <c r="AK33" s="1268"/>
      <c r="AL33" s="1268"/>
      <c r="AM33" s="1268"/>
      <c r="AN33" s="1268"/>
      <c r="AO33" s="1268"/>
      <c r="AP33" s="1268"/>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431</v>
      </c>
      <c r="AG34" s="11"/>
      <c r="AH34" s="11"/>
      <c r="AI34" s="11"/>
      <c r="AJ34" s="11"/>
      <c r="AK34" s="11"/>
      <c r="AL34" s="11"/>
      <c r="AM34" s="11"/>
      <c r="AN34" s="11"/>
      <c r="AO34" s="11"/>
      <c r="AP34" s="11"/>
      <c r="AQ34" s="68" t="s">
        <v>431</v>
      </c>
      <c r="AT34" s="69"/>
      <c r="AU34" s="69"/>
      <c r="AV34" s="69"/>
      <c r="AW34" s="69"/>
      <c r="AX34" s="69"/>
      <c r="AY34" s="35">
        <v>1</v>
      </c>
    </row>
    <row r="35" spans="1:51" ht="14.65" customHeight="1">
      <c r="Q35" s="28"/>
      <c r="R35" s="28"/>
      <c r="S35" s="739"/>
      <c r="T35" s="10"/>
      <c r="U35" s="720"/>
      <c r="V35" s="1287"/>
      <c r="W35" s="1287"/>
      <c r="X35" s="1287"/>
      <c r="Y35" s="1287"/>
      <c r="Z35" s="1287"/>
      <c r="AA35" s="1287"/>
      <c r="AB35" s="1287"/>
      <c r="AC35" s="1287"/>
      <c r="AD35" s="1287"/>
      <c r="AE35" s="1287"/>
      <c r="AF35" s="1287"/>
      <c r="AG35" s="1287"/>
      <c r="AH35" s="1287"/>
      <c r="AI35" s="1287"/>
      <c r="AJ35" s="1287"/>
      <c r="AK35" s="1287"/>
      <c r="AL35" s="1287"/>
      <c r="AM35" s="1287"/>
      <c r="AN35" s="1287"/>
      <c r="AO35" s="1287"/>
      <c r="AP35" s="1287"/>
      <c r="AQ35" s="1287"/>
      <c r="AY35" s="11">
        <v>14</v>
      </c>
    </row>
    <row r="36" spans="1:51" ht="14.65"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t="s">
        <v>305</v>
      </c>
      <c r="AY36" s="11">
        <v>14</v>
      </c>
    </row>
    <row r="37" spans="1:51" ht="14.65" customHeight="1">
      <c r="Q37" s="28"/>
      <c r="R37" s="28"/>
      <c r="S37" s="1288" t="s">
        <v>88</v>
      </c>
      <c r="T37" s="1237" t="s">
        <v>432</v>
      </c>
      <c r="U37" s="172"/>
      <c r="V37" s="1289" t="s">
        <v>433</v>
      </c>
      <c r="W37" s="1290"/>
      <c r="X37" s="1290"/>
      <c r="Y37" s="1290"/>
      <c r="Z37" s="1290"/>
      <c r="AA37" s="1290"/>
      <c r="AB37" s="1290"/>
      <c r="AC37" s="1290"/>
      <c r="AD37" s="1290"/>
      <c r="AE37" s="1291"/>
      <c r="AF37" s="1292" t="s">
        <v>434</v>
      </c>
      <c r="AG37" s="1289" t="s">
        <v>433</v>
      </c>
      <c r="AH37" s="1290"/>
      <c r="AI37" s="1290"/>
      <c r="AJ37" s="1290"/>
      <c r="AK37" s="1290"/>
      <c r="AL37" s="1290"/>
      <c r="AM37" s="1290"/>
      <c r="AN37" s="1290"/>
      <c r="AO37" s="1290"/>
      <c r="AP37" s="1291"/>
      <c r="AQ37" s="1292" t="s">
        <v>435</v>
      </c>
      <c r="AR37" s="1295" t="s">
        <v>436</v>
      </c>
      <c r="AS37" s="1148"/>
      <c r="AY37" s="11">
        <v>14</v>
      </c>
    </row>
    <row r="38" spans="1:51" s="11" customFormat="1" ht="19.899999999999999" customHeight="1">
      <c r="A38" s="63"/>
      <c r="B38" s="63"/>
      <c r="C38" s="63"/>
      <c r="D38" s="63"/>
      <c r="E38" s="63"/>
      <c r="F38" s="63"/>
      <c r="G38" s="63"/>
      <c r="H38" s="63"/>
      <c r="I38" s="63"/>
      <c r="J38" s="63"/>
      <c r="K38" s="63"/>
      <c r="L38" s="301"/>
      <c r="M38" s="506"/>
      <c r="N38" s="506"/>
      <c r="O38" s="506"/>
      <c r="P38" s="33"/>
      <c r="Q38" s="28"/>
      <c r="R38" s="28"/>
      <c r="S38" s="1288"/>
      <c r="T38" s="1237"/>
      <c r="U38" s="607"/>
      <c r="V38" s="1148" t="s">
        <v>536</v>
      </c>
      <c r="W38" s="1359" t="s">
        <v>537</v>
      </c>
      <c r="X38" s="1359"/>
      <c r="Y38" s="1359"/>
      <c r="Z38" s="1359" t="s">
        <v>538</v>
      </c>
      <c r="AA38" s="1359"/>
      <c r="AB38" s="1359"/>
      <c r="AC38" s="1208" t="s">
        <v>440</v>
      </c>
      <c r="AD38" s="1317"/>
      <c r="AE38" s="1209"/>
      <c r="AF38" s="1293"/>
      <c r="AG38" s="1148" t="s">
        <v>536</v>
      </c>
      <c r="AH38" s="1359" t="s">
        <v>537</v>
      </c>
      <c r="AI38" s="1359"/>
      <c r="AJ38" s="1359"/>
      <c r="AK38" s="1359" t="s">
        <v>538</v>
      </c>
      <c r="AL38" s="1359"/>
      <c r="AM38" s="1359"/>
      <c r="AN38" s="1208" t="s">
        <v>440</v>
      </c>
      <c r="AO38" s="1317"/>
      <c r="AP38" s="1209"/>
      <c r="AQ38" s="1293"/>
      <c r="AR38" s="1296"/>
      <c r="AS38" s="1148"/>
      <c r="AT38" s="68"/>
      <c r="AU38" s="68"/>
      <c r="AV38" s="68"/>
      <c r="AW38" s="68"/>
      <c r="AX38" s="68"/>
      <c r="AY38" s="11">
        <v>19</v>
      </c>
    </row>
    <row r="39" spans="1:51" ht="19.899999999999999" customHeight="1">
      <c r="Q39" s="28"/>
      <c r="R39" s="28"/>
      <c r="S39" s="1288"/>
      <c r="T39" s="1237"/>
      <c r="U39" s="607"/>
      <c r="V39" s="1148"/>
      <c r="W39" s="1359" t="s">
        <v>539</v>
      </c>
      <c r="X39" s="1359" t="s">
        <v>540</v>
      </c>
      <c r="Y39" s="1359"/>
      <c r="Z39" s="1359" t="s">
        <v>541</v>
      </c>
      <c r="AA39" s="1359" t="s">
        <v>540</v>
      </c>
      <c r="AB39" s="1359"/>
      <c r="AC39" s="1213"/>
      <c r="AD39" s="1318"/>
      <c r="AE39" s="1214"/>
      <c r="AF39" s="1293"/>
      <c r="AG39" s="1148"/>
      <c r="AH39" s="1359" t="s">
        <v>539</v>
      </c>
      <c r="AI39" s="1359" t="s">
        <v>540</v>
      </c>
      <c r="AJ39" s="1359"/>
      <c r="AK39" s="1359" t="s">
        <v>541</v>
      </c>
      <c r="AL39" s="1359" t="s">
        <v>540</v>
      </c>
      <c r="AM39" s="1359"/>
      <c r="AN39" s="1213"/>
      <c r="AO39" s="1318"/>
      <c r="AP39" s="1214"/>
      <c r="AQ39" s="1293"/>
      <c r="AR39" s="1296"/>
      <c r="AS39" s="1148"/>
      <c r="AY39" s="11">
        <v>19</v>
      </c>
    </row>
    <row r="40" spans="1:51" ht="61.9" customHeight="1">
      <c r="A40" s="82"/>
      <c r="B40" s="82" t="s">
        <v>141</v>
      </c>
      <c r="C40" s="82" t="s">
        <v>142</v>
      </c>
      <c r="D40" s="82" t="s">
        <v>143</v>
      </c>
      <c r="E40" s="770" t="s">
        <v>441</v>
      </c>
      <c r="F40" s="770" t="s">
        <v>442</v>
      </c>
      <c r="G40" s="770" t="s">
        <v>443</v>
      </c>
      <c r="H40" s="770"/>
      <c r="I40" s="770" t="s">
        <v>494</v>
      </c>
      <c r="J40" s="770" t="s">
        <v>446</v>
      </c>
      <c r="K40" s="770" t="s">
        <v>495</v>
      </c>
      <c r="L40" s="770" t="s">
        <v>422</v>
      </c>
      <c r="Q40" s="28"/>
      <c r="R40" s="28"/>
      <c r="S40" s="1288"/>
      <c r="T40" s="1237"/>
      <c r="U40" s="173"/>
      <c r="V40" s="1148"/>
      <c r="W40" s="1359"/>
      <c r="X40" s="1053" t="s">
        <v>542</v>
      </c>
      <c r="Y40" s="1053" t="s">
        <v>543</v>
      </c>
      <c r="Z40" s="1359"/>
      <c r="AA40" s="1053" t="s">
        <v>544</v>
      </c>
      <c r="AB40" s="1053" t="s">
        <v>545</v>
      </c>
      <c r="AC40" s="39" t="s">
        <v>450</v>
      </c>
      <c r="AD40" s="1242" t="s">
        <v>451</v>
      </c>
      <c r="AE40" s="1255"/>
      <c r="AF40" s="1294"/>
      <c r="AG40" s="1148"/>
      <c r="AH40" s="1359"/>
      <c r="AI40" s="1053" t="s">
        <v>542</v>
      </c>
      <c r="AJ40" s="1053" t="s">
        <v>543</v>
      </c>
      <c r="AK40" s="1359"/>
      <c r="AL40" s="1053" t="s">
        <v>544</v>
      </c>
      <c r="AM40" s="1053" t="s">
        <v>545</v>
      </c>
      <c r="AN40" s="39" t="s">
        <v>450</v>
      </c>
      <c r="AO40" s="1242" t="s">
        <v>451</v>
      </c>
      <c r="AP40" s="1255"/>
      <c r="AQ40" s="1294"/>
      <c r="AR40" s="1297"/>
      <c r="AS40" s="1148"/>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115</v>
      </c>
      <c r="T41" s="726" t="s">
        <v>103</v>
      </c>
      <c r="U41" s="721" t="str">
        <f ca="1">OFFSET(U41,0,-1)</f>
        <v>2</v>
      </c>
      <c r="V41" s="727">
        <f ca="1">OFFSET(V41,0,-1)+1</f>
        <v>3</v>
      </c>
      <c r="W41" s="727"/>
      <c r="X41" s="727"/>
      <c r="Y41" s="727"/>
      <c r="Z41" s="727"/>
      <c r="AA41" s="727"/>
      <c r="AB41" s="727">
        <f ca="1">OFFSET(AB41,0,-1)+1</f>
        <v>1</v>
      </c>
      <c r="AC41" s="727">
        <f ca="1">OFFSET(AC41,0,-1)+1</f>
        <v>2</v>
      </c>
      <c r="AD41" s="1286">
        <f ca="1">OFFSET(AD41,0,-1)+1</f>
        <v>3</v>
      </c>
      <c r="AE41" s="1286"/>
      <c r="AF41" s="727">
        <f ca="1">OFFSET(AF41,0,-2)+1</f>
        <v>4</v>
      </c>
      <c r="AG41" s="727">
        <f ca="1">OFFSET(AG41,0,-1)+1</f>
        <v>5</v>
      </c>
      <c r="AH41" s="727"/>
      <c r="AI41" s="727"/>
      <c r="AJ41" s="727"/>
      <c r="AK41" s="727"/>
      <c r="AL41" s="727"/>
      <c r="AM41" s="727">
        <f ca="1">OFFSET(AM41,0,-1)+1</f>
        <v>1</v>
      </c>
      <c r="AN41" s="727">
        <f ca="1">OFFSET(AN41,0,-1)+1</f>
        <v>2</v>
      </c>
      <c r="AO41" s="1286">
        <f ca="1">OFFSET(AO41,0,-1)+1</f>
        <v>3</v>
      </c>
      <c r="AP41" s="1286"/>
      <c r="AQ41" s="727">
        <f ca="1">OFFSET(AQ41,0,-2)+1</f>
        <v>4</v>
      </c>
      <c r="AR41" s="721">
        <f ca="1">OFFSET(AR41,0,-1)</f>
        <v>4</v>
      </c>
      <c r="AS41" s="727">
        <f ca="1">OFFSET(AS41,0,-1)+1</f>
        <v>5</v>
      </c>
      <c r="AT41" s="68"/>
      <c r="AU41" s="68"/>
      <c r="AV41" s="68"/>
      <c r="AW41" s="68"/>
      <c r="AX41" s="68"/>
      <c r="AY41" s="203">
        <v>0</v>
      </c>
    </row>
    <row r="42" spans="1:51" ht="24" customHeight="1">
      <c r="A42" s="769" t="s">
        <v>260</v>
      </c>
      <c r="B42" s="769"/>
      <c r="C42" s="769"/>
      <c r="D42" s="769"/>
      <c r="E42" s="1275">
        <v>1</v>
      </c>
      <c r="F42" s="769"/>
      <c r="G42" s="769"/>
      <c r="H42" s="769"/>
      <c r="I42" s="769"/>
      <c r="J42" s="769"/>
      <c r="K42" s="769"/>
      <c r="L42" s="770"/>
      <c r="M42" s="426"/>
      <c r="N42" s="426"/>
      <c r="O42" s="426"/>
      <c r="Q42" s="34"/>
      <c r="R42" s="207"/>
      <c r="S42" s="709">
        <f>INDEX(PT_DIFFERENTIATION_NUM_NTAR,MATCH(A42,PT_DIFFERENTIATION_NTAR_ID,0))</f>
        <v>0</v>
      </c>
      <c r="T42" s="67" t="s">
        <v>129</v>
      </c>
      <c r="U42" s="171"/>
      <c r="V42" s="1269"/>
      <c r="W42" s="1270"/>
      <c r="X42" s="1270"/>
      <c r="Y42" s="1270"/>
      <c r="Z42" s="1270"/>
      <c r="AA42" s="1270"/>
      <c r="AB42" s="1270"/>
      <c r="AC42" s="1270"/>
      <c r="AD42" s="1270"/>
      <c r="AE42" s="1270"/>
      <c r="AF42" s="1271"/>
      <c r="AG42" s="1269" t="str">
        <f>INDEX(PT_DIFFERENTIATION_NTAR,MATCH(A42,PT_DIFFERENTIATION_NTAR_ID,0))</f>
        <v/>
      </c>
      <c r="AH42" s="1270"/>
      <c r="AI42" s="1270"/>
      <c r="AJ42" s="1270"/>
      <c r="AK42" s="1270"/>
      <c r="AL42" s="1270"/>
      <c r="AM42" s="1270"/>
      <c r="AN42" s="1270"/>
      <c r="AO42" s="1270"/>
      <c r="AP42" s="1270"/>
      <c r="AQ42" s="1270"/>
      <c r="AR42" s="1271"/>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260</v>
      </c>
      <c r="B43" s="769" t="s">
        <v>261</v>
      </c>
      <c r="C43" s="769"/>
      <c r="D43" s="769"/>
      <c r="E43" s="1276"/>
      <c r="F43" s="1275">
        <v>1</v>
      </c>
      <c r="G43" s="769"/>
      <c r="H43" s="769"/>
      <c r="I43" s="769"/>
      <c r="J43" s="769"/>
      <c r="K43" s="769"/>
      <c r="L43" s="770"/>
      <c r="M43" s="426"/>
      <c r="N43" s="426"/>
      <c r="O43" s="426"/>
      <c r="P43" s="58"/>
      <c r="Q43" s="204"/>
      <c r="R43" s="205"/>
      <c r="S43" s="709" t="str">
        <f>INDEX(PT_DIFFERENTIATION_NUM_TER,MATCH(B43,PT_DIFFERENTIATION_TER_ID,0))</f>
        <v>.</v>
      </c>
      <c r="T43" s="177" t="s">
        <v>401</v>
      </c>
      <c r="U43" s="171"/>
      <c r="V43" s="1269"/>
      <c r="W43" s="1270"/>
      <c r="X43" s="1270"/>
      <c r="Y43" s="1270"/>
      <c r="Z43" s="1270"/>
      <c r="AA43" s="1270"/>
      <c r="AB43" s="1270"/>
      <c r="AC43" s="1270"/>
      <c r="AD43" s="1270"/>
      <c r="AE43" s="1270"/>
      <c r="AF43" s="1271"/>
      <c r="AG43" s="1269" t="str">
        <f>INDEX(PT_DIFFERENTIATION_TER,MATCH(B43,PT_DIFFERENTIATION_TER_ID,0))</f>
        <v/>
      </c>
      <c r="AH43" s="1270"/>
      <c r="AI43" s="1270"/>
      <c r="AJ43" s="1270"/>
      <c r="AK43" s="1270"/>
      <c r="AL43" s="1270"/>
      <c r="AM43" s="1270"/>
      <c r="AN43" s="1270"/>
      <c r="AO43" s="1270"/>
      <c r="AP43" s="1270"/>
      <c r="AQ43" s="1270"/>
      <c r="AR43" s="1271"/>
      <c r="AS43" s="729" t="s">
        <v>402</v>
      </c>
      <c r="AU43" s="69"/>
      <c r="AV43" s="69" t="str">
        <f t="shared" si="1"/>
        <v>Территория действия тарифа</v>
      </c>
      <c r="AW43" s="69"/>
      <c r="AX43" s="69"/>
      <c r="AY43" s="11">
        <v>23</v>
      </c>
    </row>
    <row r="44" spans="1:51" ht="24" customHeight="1">
      <c r="A44" s="769" t="s">
        <v>260</v>
      </c>
      <c r="B44" s="769" t="s">
        <v>261</v>
      </c>
      <c r="C44" s="769" t="s">
        <v>262</v>
      </c>
      <c r="D44" s="769"/>
      <c r="E44" s="1276"/>
      <c r="F44" s="1276"/>
      <c r="G44" s="1275">
        <v>1</v>
      </c>
      <c r="H44" s="769"/>
      <c r="I44" s="769"/>
      <c r="J44" s="769"/>
      <c r="K44" s="769"/>
      <c r="L44" s="770"/>
      <c r="M44" s="426"/>
      <c r="N44" s="426"/>
      <c r="O44" s="426"/>
      <c r="P44" s="206"/>
      <c r="Q44" s="204"/>
      <c r="R44" s="205"/>
      <c r="S44" s="709" t="str">
        <f>INDEX(PT_DIFFERENTIATION_NUM_CS,MATCH(C44,PT_DIFFERENTIATION_CS_ID,0))</f>
        <v>..</v>
      </c>
      <c r="T44" s="178" t="s">
        <v>534</v>
      </c>
      <c r="U44" s="171"/>
      <c r="V44" s="1269"/>
      <c r="W44" s="1270"/>
      <c r="X44" s="1270"/>
      <c r="Y44" s="1270"/>
      <c r="Z44" s="1270"/>
      <c r="AA44" s="1270"/>
      <c r="AB44" s="1270"/>
      <c r="AC44" s="1270"/>
      <c r="AD44" s="1270"/>
      <c r="AE44" s="1270"/>
      <c r="AF44" s="1271"/>
      <c r="AG44" s="1269" t="str">
        <f>INDEX(PT_DIFFERENTIATION_CS,MATCH(C44,PT_DIFFERENTIATION_CS_ID,0))</f>
        <v/>
      </c>
      <c r="AH44" s="1270"/>
      <c r="AI44" s="1270"/>
      <c r="AJ44" s="1270"/>
      <c r="AK44" s="1270"/>
      <c r="AL44" s="1270"/>
      <c r="AM44" s="1270"/>
      <c r="AN44" s="1270"/>
      <c r="AO44" s="1270"/>
      <c r="AP44" s="1270"/>
      <c r="AQ44" s="1270"/>
      <c r="AR44" s="1271"/>
      <c r="AS44" s="729" t="s">
        <v>535</v>
      </c>
      <c r="AU44" s="69"/>
      <c r="AV44" s="69" t="str">
        <f t="shared" si="1"/>
        <v>Наименование централизованной системы горячего водоснабжения</v>
      </c>
      <c r="AW44" s="69"/>
      <c r="AX44" s="69"/>
      <c r="AY44" s="11">
        <v>23</v>
      </c>
    </row>
    <row r="45" spans="1:51" ht="24" customHeight="1">
      <c r="A45" s="769" t="s">
        <v>260</v>
      </c>
      <c r="B45" s="769" t="s">
        <v>261</v>
      </c>
      <c r="C45" s="769" t="s">
        <v>262</v>
      </c>
      <c r="D45" s="769" t="s">
        <v>547</v>
      </c>
      <c r="E45" s="1276"/>
      <c r="F45" s="1276"/>
      <c r="G45" s="1276"/>
      <c r="H45" s="1276"/>
      <c r="I45" s="1277" t="str">
        <f>S44&amp;".1"</f>
        <v>...1</v>
      </c>
      <c r="J45" s="769"/>
      <c r="K45" s="769"/>
      <c r="L45" s="770"/>
      <c r="P45" s="1279">
        <v>1</v>
      </c>
      <c r="Q45" s="122"/>
      <c r="R45" s="208"/>
      <c r="S45" s="709" t="str">
        <f>$I45</f>
        <v>...1</v>
      </c>
      <c r="T45" s="164" t="s">
        <v>487</v>
      </c>
      <c r="U45" s="171"/>
      <c r="V45" s="1343"/>
      <c r="W45" s="1344"/>
      <c r="X45" s="1344"/>
      <c r="Y45" s="1344"/>
      <c r="Z45" s="1344"/>
      <c r="AA45" s="1344"/>
      <c r="AB45" s="1344"/>
      <c r="AC45" s="1344"/>
      <c r="AD45" s="1344"/>
      <c r="AE45" s="1344"/>
      <c r="AF45" s="1345"/>
      <c r="AG45" s="1346"/>
      <c r="AH45" s="1347"/>
      <c r="AI45" s="1347"/>
      <c r="AJ45" s="1347"/>
      <c r="AK45" s="1347"/>
      <c r="AL45" s="1347"/>
      <c r="AM45" s="1347"/>
      <c r="AN45" s="1347"/>
      <c r="AO45" s="1347"/>
      <c r="AP45" s="1347"/>
      <c r="AQ45" s="1347"/>
      <c r="AR45" s="1348"/>
      <c r="AS45" s="729" t="s">
        <v>488</v>
      </c>
      <c r="AU45" s="69"/>
      <c r="AV45" s="69" t="str">
        <f t="shared" si="1"/>
        <v>Наименование признака дифференциации</v>
      </c>
      <c r="AW45" s="69"/>
      <c r="AX45" s="69"/>
      <c r="AY45" s="11">
        <v>23</v>
      </c>
    </row>
    <row r="46" spans="1:51" ht="24" customHeight="1">
      <c r="A46" s="769" t="s">
        <v>260</v>
      </c>
      <c r="B46" s="769" t="s">
        <v>261</v>
      </c>
      <c r="C46" s="769" t="s">
        <v>262</v>
      </c>
      <c r="D46" s="769" t="s">
        <v>547</v>
      </c>
      <c r="E46" s="1276"/>
      <c r="F46" s="1276"/>
      <c r="G46" s="1276"/>
      <c r="H46" s="1276"/>
      <c r="I46" s="1278"/>
      <c r="J46" s="1277" t="str">
        <f>I45&amp;".1"</f>
        <v>...1.1</v>
      </c>
      <c r="K46" s="769"/>
      <c r="L46" s="770" t="s">
        <v>410</v>
      </c>
      <c r="P46" s="1279"/>
      <c r="Q46" s="1279">
        <v>1</v>
      </c>
      <c r="R46" s="209"/>
      <c r="S46" s="709" t="str">
        <f>$J46</f>
        <v>...1.1</v>
      </c>
      <c r="T46" s="165" t="s">
        <v>411</v>
      </c>
      <c r="U46" s="171"/>
      <c r="V46" s="1263"/>
      <c r="W46" s="1264"/>
      <c r="X46" s="1264"/>
      <c r="Y46" s="1264"/>
      <c r="Z46" s="1264"/>
      <c r="AA46" s="1264"/>
      <c r="AB46" s="1264"/>
      <c r="AC46" s="1264"/>
      <c r="AD46" s="1264"/>
      <c r="AE46" s="1264"/>
      <c r="AF46" s="1265"/>
      <c r="AG46" s="1263"/>
      <c r="AH46" s="1264"/>
      <c r="AI46" s="1264"/>
      <c r="AJ46" s="1264"/>
      <c r="AK46" s="1264"/>
      <c r="AL46" s="1264"/>
      <c r="AM46" s="1264"/>
      <c r="AN46" s="1264"/>
      <c r="AO46" s="1264"/>
      <c r="AP46" s="1264"/>
      <c r="AQ46" s="1264"/>
      <c r="AR46" s="1265"/>
      <c r="AS46" s="753" t="s">
        <v>489</v>
      </c>
      <c r="AU46" s="69"/>
      <c r="AV46" s="69" t="str">
        <f t="shared" si="1"/>
        <v>Группа потребителей</v>
      </c>
      <c r="AW46" s="69"/>
      <c r="AX46" s="69"/>
      <c r="AY46" s="11">
        <v>23</v>
      </c>
    </row>
    <row r="47" spans="1:51" ht="24" customHeight="1">
      <c r="A47" s="769" t="s">
        <v>260</v>
      </c>
      <c r="B47" s="769" t="s">
        <v>261</v>
      </c>
      <c r="C47" s="769" t="s">
        <v>262</v>
      </c>
      <c r="D47" s="769" t="s">
        <v>547</v>
      </c>
      <c r="E47" s="1276"/>
      <c r="F47" s="1276"/>
      <c r="G47" s="1276"/>
      <c r="H47" s="1276"/>
      <c r="I47" s="1278"/>
      <c r="J47" s="1278"/>
      <c r="K47" s="1277" t="str">
        <f>J46&amp;".1"</f>
        <v>...1.1.1</v>
      </c>
      <c r="L47" s="770"/>
      <c r="P47" s="1279"/>
      <c r="Q47" s="1279"/>
      <c r="R47" s="209">
        <v>1</v>
      </c>
      <c r="S47" s="709" t="str">
        <f>$K47</f>
        <v>...1.1.1</v>
      </c>
      <c r="T47" s="812"/>
      <c r="U47" s="171"/>
      <c r="V47" s="368"/>
      <c r="W47" s="368"/>
      <c r="X47" s="368"/>
      <c r="Y47" s="368"/>
      <c r="Z47" s="368"/>
      <c r="AA47" s="368"/>
      <c r="AB47" s="768"/>
      <c r="AC47" s="1273"/>
      <c r="AD47" s="1272" t="s">
        <v>66</v>
      </c>
      <c r="AE47" s="1273"/>
      <c r="AF47" s="1272" t="s">
        <v>66</v>
      </c>
      <c r="AG47" s="306"/>
      <c r="AH47" s="306"/>
      <c r="AI47" s="306"/>
      <c r="AJ47" s="306"/>
      <c r="AK47" s="306"/>
      <c r="AL47" s="306"/>
      <c r="AM47" s="728"/>
      <c r="AN47" s="1280"/>
      <c r="AO47" s="1158" t="s">
        <v>66</v>
      </c>
      <c r="AP47" s="1282"/>
      <c r="AQ47" s="1158" t="s">
        <v>19</v>
      </c>
      <c r="AR47" s="813"/>
      <c r="AS4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260</v>
      </c>
      <c r="B48" s="769" t="s">
        <v>261</v>
      </c>
      <c r="C48" s="769" t="s">
        <v>262</v>
      </c>
      <c r="D48" s="769" t="s">
        <v>547</v>
      </c>
      <c r="E48" s="1276"/>
      <c r="F48" s="1276"/>
      <c r="G48" s="1276"/>
      <c r="H48" s="1276"/>
      <c r="I48" s="1278"/>
      <c r="J48" s="1278"/>
      <c r="K48" s="1277"/>
      <c r="L48" s="770"/>
      <c r="P48" s="1279"/>
      <c r="Q48" s="1279"/>
      <c r="R48" s="209"/>
      <c r="S48" s="65"/>
      <c r="T48" s="171"/>
      <c r="U48" s="171"/>
      <c r="V48" s="368"/>
      <c r="W48" s="368"/>
      <c r="X48" s="368"/>
      <c r="Y48" s="368"/>
      <c r="Z48" s="368"/>
      <c r="AA48" s="368"/>
      <c r="AB48" s="192" t="str">
        <f>AC47&amp;"-"&amp;AE47</f>
        <v>-</v>
      </c>
      <c r="AC48" s="1272"/>
      <c r="AD48" s="1272"/>
      <c r="AE48" s="1272"/>
      <c r="AF48" s="1272"/>
      <c r="AG48" s="191"/>
      <c r="AH48" s="191"/>
      <c r="AI48" s="191"/>
      <c r="AJ48" s="191"/>
      <c r="AK48" s="191"/>
      <c r="AL48" s="191"/>
      <c r="AM48" s="192" t="str">
        <f>AN47&amp;"-"&amp;AP47</f>
        <v>-</v>
      </c>
      <c r="AN48" s="1281"/>
      <c r="AO48" s="1158"/>
      <c r="AP48" s="1283"/>
      <c r="AQ48" s="1158"/>
      <c r="AR48" s="388"/>
      <c r="AS48" s="1349"/>
      <c r="AU48" s="69"/>
      <c r="AV48" s="69" t="str">
        <f t="shared" si="1"/>
        <v/>
      </c>
      <c r="AW48" s="69"/>
      <c r="AX48" s="69"/>
      <c r="AY48" s="11">
        <v>0</v>
      </c>
    </row>
    <row r="49" spans="1:51" ht="21" customHeight="1">
      <c r="A49" s="769" t="s">
        <v>260</v>
      </c>
      <c r="B49" s="769" t="s">
        <v>261</v>
      </c>
      <c r="C49" s="769" t="s">
        <v>262</v>
      </c>
      <c r="D49" s="769" t="s">
        <v>547</v>
      </c>
      <c r="E49" s="1276"/>
      <c r="F49" s="1276"/>
      <c r="G49" s="1276"/>
      <c r="H49" s="1276"/>
      <c r="I49" s="1278"/>
      <c r="J49" s="1277"/>
      <c r="K49" s="769"/>
      <c r="L49" s="770"/>
      <c r="P49" s="1279"/>
      <c r="Q49" s="1279"/>
      <c r="R49" s="208"/>
      <c r="S49" s="742"/>
      <c r="T49" s="166" t="s">
        <v>490</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491</v>
      </c>
      <c r="AU49" s="69"/>
      <c r="AV49" s="69" t="str">
        <f t="shared" si="1"/>
        <v>Добавить значение признака дифференциации</v>
      </c>
      <c r="AW49" s="69"/>
      <c r="AX49" s="69"/>
      <c r="AY49" s="11">
        <v>20</v>
      </c>
    </row>
    <row r="50" spans="1:51" ht="21.95" customHeight="1">
      <c r="A50" s="769" t="s">
        <v>260</v>
      </c>
      <c r="B50" s="769" t="s">
        <v>261</v>
      </c>
      <c r="C50" s="769" t="s">
        <v>262</v>
      </c>
      <c r="D50" s="769" t="s">
        <v>547</v>
      </c>
      <c r="E50" s="1276"/>
      <c r="F50" s="1276"/>
      <c r="G50" s="1276"/>
      <c r="H50" s="1276"/>
      <c r="I50" s="1277"/>
      <c r="J50" s="769"/>
      <c r="K50" s="769"/>
      <c r="L50" s="770"/>
      <c r="P50" s="1279"/>
      <c r="Q50" s="122"/>
      <c r="R50" s="208"/>
      <c r="S50" s="742"/>
      <c r="T50" s="211" t="s">
        <v>416</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260</v>
      </c>
      <c r="B51" s="769" t="s">
        <v>261</v>
      </c>
      <c r="C51" s="769" t="s">
        <v>262</v>
      </c>
      <c r="D51" s="769" t="s">
        <v>547</v>
      </c>
      <c r="E51" s="1276"/>
      <c r="F51" s="1276"/>
      <c r="G51" s="1276"/>
      <c r="H51" s="1275"/>
      <c r="I51" s="769"/>
      <c r="J51" s="769"/>
      <c r="K51" s="769"/>
      <c r="L51" s="770"/>
      <c r="M51" s="426"/>
      <c r="N51" s="426"/>
      <c r="O51" s="63"/>
      <c r="P51" s="34"/>
      <c r="Q51" s="216"/>
      <c r="R51" s="207"/>
      <c r="S51" s="742"/>
      <c r="T51" s="107" t="s">
        <v>492</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260</v>
      </c>
      <c r="B52" s="145" t="s">
        <v>261</v>
      </c>
      <c r="C52" s="145"/>
      <c r="D52" s="145"/>
      <c r="E52" s="1276"/>
      <c r="F52" s="1275"/>
      <c r="G52" s="145"/>
      <c r="H52" s="145"/>
      <c r="I52" s="145"/>
      <c r="J52" s="145"/>
      <c r="K52" s="145"/>
      <c r="L52" s="346"/>
      <c r="M52" s="759"/>
      <c r="N52" s="759"/>
      <c r="P52" s="104"/>
      <c r="Q52" s="755"/>
      <c r="R52" s="104"/>
      <c r="S52" s="760"/>
      <c r="T52" s="762" t="s">
        <v>419</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260</v>
      </c>
      <c r="B53" s="145"/>
      <c r="C53" s="145"/>
      <c r="D53" s="145"/>
      <c r="E53" s="1275"/>
      <c r="F53" s="145"/>
      <c r="G53" s="145"/>
      <c r="H53" s="145"/>
      <c r="I53" s="145"/>
      <c r="J53" s="145"/>
      <c r="K53" s="145"/>
      <c r="L53" s="346"/>
      <c r="M53" s="759"/>
      <c r="N53" s="759"/>
      <c r="P53" s="104"/>
      <c r="Q53" s="755"/>
      <c r="R53" s="104"/>
      <c r="S53" s="760"/>
      <c r="T53" s="762" t="s">
        <v>420</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452</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Y56" s="11">
        <v>14</v>
      </c>
    </row>
    <row r="57" spans="1:51" ht="14.65" customHeight="1">
      <c r="O57" s="63"/>
      <c r="AY57" s="11">
        <v>14</v>
      </c>
    </row>
    <row r="58" spans="1:51" ht="14.65" customHeight="1">
      <c r="O58" s="63"/>
      <c r="S58" s="198"/>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FD408-1BD1-810C-5CF6-A4A96973009D}">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5">
        <v>1</v>
      </c>
      <c r="F2" s="769"/>
      <c r="G2" s="769"/>
      <c r="H2" s="769"/>
      <c r="I2" s="769"/>
      <c r="J2" s="769"/>
      <c r="K2" s="769"/>
      <c r="L2" s="770"/>
      <c r="M2" s="426"/>
      <c r="N2" s="426"/>
      <c r="O2" s="426"/>
      <c r="Q2" s="62"/>
      <c r="R2" s="207"/>
      <c r="S2" s="709" t="e">
        <f>INDEX(PT_DIFFERENTIATION_NUM_NTAR,MATCH(A2,PT_DIFFERENTIATION_NTAR_ID,0))</f>
        <v>#N/A</v>
      </c>
      <c r="T2" s="67" t="s">
        <v>129</v>
      </c>
      <c r="U2" s="171"/>
      <c r="V2" s="1270"/>
      <c r="W2" s="1270"/>
      <c r="X2" s="1270"/>
      <c r="Y2" s="1270"/>
      <c r="Z2" s="1270"/>
      <c r="AA2" s="1270"/>
      <c r="AB2" s="1270"/>
      <c r="AC2" s="1271"/>
      <c r="AD2" s="1269" t="e">
        <f>INDEX(PT_DIFFERENTIATION_NTAR,MATCH(A2,PT_DIFFERENTIATION_NTAR_ID,0))</f>
        <v>#N/A</v>
      </c>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1"/>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6"/>
      <c r="F3" s="1275">
        <v>1</v>
      </c>
      <c r="G3" s="769"/>
      <c r="H3" s="769"/>
      <c r="I3" s="769"/>
      <c r="J3" s="769"/>
      <c r="K3" s="769"/>
      <c r="L3" s="770"/>
      <c r="M3" s="426"/>
      <c r="N3" s="426"/>
      <c r="O3" s="426"/>
      <c r="P3" s="301"/>
      <c r="Q3" s="802"/>
      <c r="R3" s="205"/>
      <c r="S3" s="709" t="e">
        <f>INDEX(PT_DIFFERENTIATION_NUM_TER,MATCH(B3,PT_DIFFERENTIATION_TER_ID,0))</f>
        <v>#N/A</v>
      </c>
      <c r="T3" s="177" t="s">
        <v>401</v>
      </c>
      <c r="U3" s="171"/>
      <c r="V3" s="1270"/>
      <c r="W3" s="1270"/>
      <c r="X3" s="1270"/>
      <c r="Y3" s="1270"/>
      <c r="Z3" s="1270"/>
      <c r="AA3" s="1270"/>
      <c r="AB3" s="1270"/>
      <c r="AC3" s="1271"/>
      <c r="AD3" s="1269" t="e">
        <f>INDEX(PT_DIFFERENTIATION_TER,MATCH(B3,PT_DIFFERENTIATION_TER_ID,0))</f>
        <v>#N/A</v>
      </c>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1"/>
      <c r="BC3" s="729" t="s">
        <v>402</v>
      </c>
      <c r="BE3" s="69"/>
      <c r="BF3" s="69" t="str">
        <f t="shared" si="0"/>
        <v>Территория действия тарифа</v>
      </c>
      <c r="BG3" s="69"/>
      <c r="BH3" s="69"/>
      <c r="BI3" s="11">
        <v>0</v>
      </c>
    </row>
    <row r="4" spans="1:61" ht="33.75" hidden="1" customHeight="1">
      <c r="A4" s="769"/>
      <c r="B4" s="769"/>
      <c r="C4" s="769"/>
      <c r="D4" s="769"/>
      <c r="E4" s="1276"/>
      <c r="F4" s="1276"/>
      <c r="G4" s="1275">
        <v>1</v>
      </c>
      <c r="H4" s="769"/>
      <c r="I4" s="769"/>
      <c r="J4" s="769"/>
      <c r="K4" s="769"/>
      <c r="L4" s="770"/>
      <c r="M4" s="426"/>
      <c r="N4" s="426"/>
      <c r="O4" s="426"/>
      <c r="P4" s="131"/>
      <c r="Q4" s="802"/>
      <c r="R4" s="205"/>
      <c r="S4" s="709" t="e">
        <f>INDEX(PT_DIFFERENTIATION_NUM_CS,MATCH(C4,PT_DIFFERENTIATION_CS_ID,0))</f>
        <v>#N/A</v>
      </c>
      <c r="T4" s="178" t="s">
        <v>534</v>
      </c>
      <c r="U4" s="171"/>
      <c r="V4" s="1270"/>
      <c r="W4" s="1270"/>
      <c r="X4" s="1270"/>
      <c r="Y4" s="1270"/>
      <c r="Z4" s="1270"/>
      <c r="AA4" s="1270"/>
      <c r="AB4" s="1270"/>
      <c r="AC4" s="1271"/>
      <c r="AD4" s="1269" t="e">
        <f>INDEX(PT_DIFFERENTIATION_CS,MATCH(C4,PT_DIFFERENTIATION_CS_ID,0))</f>
        <v>#N/A</v>
      </c>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1"/>
      <c r="BC4" s="729" t="s">
        <v>535</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76"/>
      <c r="F5" s="1276"/>
      <c r="G5" s="1276"/>
      <c r="H5" s="1275">
        <v>1</v>
      </c>
      <c r="I5" s="145"/>
      <c r="J5" s="145"/>
      <c r="K5" s="145"/>
      <c r="L5" s="346"/>
      <c r="M5" s="293"/>
      <c r="N5" s="293"/>
      <c r="O5" s="293"/>
      <c r="P5" s="820"/>
      <c r="Q5" s="821"/>
      <c r="R5" s="209"/>
      <c r="S5" s="362"/>
      <c r="T5" s="822"/>
      <c r="U5" s="780"/>
      <c r="V5" s="1307"/>
      <c r="W5" s="1307"/>
      <c r="X5" s="1307"/>
      <c r="Y5" s="1307"/>
      <c r="Z5" s="1307"/>
      <c r="AA5" s="1307"/>
      <c r="AB5" s="1307"/>
      <c r="AC5" s="1308"/>
      <c r="AD5" s="1306"/>
      <c r="AE5" s="1307"/>
      <c r="AF5" s="1307"/>
      <c r="AG5" s="1307"/>
      <c r="AH5" s="1307"/>
      <c r="AI5" s="1307"/>
      <c r="AJ5" s="1307"/>
      <c r="AK5" s="1307"/>
      <c r="AL5" s="1307"/>
      <c r="AM5" s="1307"/>
      <c r="AN5" s="1307"/>
      <c r="AO5" s="1307"/>
      <c r="AP5" s="1307"/>
      <c r="AQ5" s="1307"/>
      <c r="AR5" s="1307"/>
      <c r="AS5" s="1307"/>
      <c r="AT5" s="1307"/>
      <c r="AU5" s="1307"/>
      <c r="AV5" s="1307"/>
      <c r="AW5" s="1307"/>
      <c r="AX5" s="1307"/>
      <c r="AY5" s="1307"/>
      <c r="AZ5" s="1307"/>
      <c r="BA5" s="1307"/>
      <c r="BB5" s="1308"/>
      <c r="BC5" s="781" t="s">
        <v>406</v>
      </c>
      <c r="BE5" s="69"/>
      <c r="BF5" s="69" t="str">
        <f t="shared" si="0"/>
        <v/>
      </c>
      <c r="BG5" s="69"/>
      <c r="BH5" s="69"/>
      <c r="BI5" s="68">
        <v>0</v>
      </c>
    </row>
    <row r="6" spans="1:61" s="68" customFormat="1" ht="14.25" hidden="1" customHeight="1">
      <c r="A6" s="145"/>
      <c r="B6" s="145"/>
      <c r="C6" s="145"/>
      <c r="D6" s="145"/>
      <c r="E6" s="1276"/>
      <c r="F6" s="1276"/>
      <c r="G6" s="1276"/>
      <c r="H6" s="1276"/>
      <c r="I6" s="1277" t="str">
        <f>S5&amp;".1"</f>
        <v>.1</v>
      </c>
      <c r="J6" s="145"/>
      <c r="K6" s="145"/>
      <c r="L6" s="346" t="s">
        <v>407</v>
      </c>
      <c r="M6" s="290"/>
      <c r="N6" s="290"/>
      <c r="O6" s="290"/>
      <c r="P6" s="1279">
        <v>1</v>
      </c>
      <c r="Q6" s="122"/>
      <c r="R6" s="208"/>
      <c r="S6" s="362"/>
      <c r="T6" s="779"/>
      <c r="U6" s="780"/>
      <c r="V6" s="1307"/>
      <c r="W6" s="1307"/>
      <c r="X6" s="1307"/>
      <c r="Y6" s="1307"/>
      <c r="Z6" s="1307"/>
      <c r="AA6" s="1307"/>
      <c r="AB6" s="1307"/>
      <c r="AC6" s="1308"/>
      <c r="AD6" s="1306"/>
      <c r="AE6" s="1307"/>
      <c r="AF6" s="1307"/>
      <c r="AG6" s="1307"/>
      <c r="AH6" s="1307"/>
      <c r="AI6" s="1307"/>
      <c r="AJ6" s="1307"/>
      <c r="AK6" s="1307"/>
      <c r="AL6" s="1307"/>
      <c r="AM6" s="1307"/>
      <c r="AN6" s="1307"/>
      <c r="AO6" s="1307"/>
      <c r="AP6" s="1307"/>
      <c r="AQ6" s="1307"/>
      <c r="AR6" s="1307"/>
      <c r="AS6" s="1307"/>
      <c r="AT6" s="1307"/>
      <c r="AU6" s="1307"/>
      <c r="AV6" s="1307"/>
      <c r="AW6" s="1307"/>
      <c r="AX6" s="1307"/>
      <c r="AY6" s="1307"/>
      <c r="AZ6" s="1307"/>
      <c r="BA6" s="1307"/>
      <c r="BB6" s="1308"/>
      <c r="BC6" s="781"/>
      <c r="BE6" s="69"/>
      <c r="BF6" s="69" t="str">
        <f t="shared" si="0"/>
        <v/>
      </c>
      <c r="BG6" s="69"/>
      <c r="BH6" s="69"/>
      <c r="BI6" s="68">
        <v>0</v>
      </c>
    </row>
    <row r="7" spans="1:61" s="68" customFormat="1" ht="14.25" hidden="1" customHeight="1">
      <c r="A7" s="145"/>
      <c r="B7" s="145"/>
      <c r="C7" s="145"/>
      <c r="D7" s="145"/>
      <c r="E7" s="1276"/>
      <c r="F7" s="1276"/>
      <c r="G7" s="1276"/>
      <c r="H7" s="1276"/>
      <c r="I7" s="1278"/>
      <c r="J7" s="1277" t="str">
        <f>S5&amp;".1"</f>
        <v>.1</v>
      </c>
      <c r="K7" s="145"/>
      <c r="L7" s="346"/>
      <c r="M7" s="290"/>
      <c r="N7" s="290"/>
      <c r="O7" s="290"/>
      <c r="P7" s="1279"/>
      <c r="Q7" s="1279">
        <v>1</v>
      </c>
      <c r="R7" s="209"/>
      <c r="S7" s="362"/>
      <c r="T7" s="794"/>
      <c r="U7" s="780"/>
      <c r="V7" s="1307"/>
      <c r="W7" s="1307"/>
      <c r="X7" s="1307"/>
      <c r="Y7" s="1307"/>
      <c r="Z7" s="1307"/>
      <c r="AA7" s="1307"/>
      <c r="AB7" s="1307"/>
      <c r="AC7" s="1308"/>
      <c r="AD7" s="1306"/>
      <c r="AE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8"/>
      <c r="BC7" s="781"/>
      <c r="BE7" s="69"/>
      <c r="BF7" s="69" t="str">
        <f t="shared" si="0"/>
        <v/>
      </c>
      <c r="BG7" s="69"/>
      <c r="BH7" s="69"/>
      <c r="BI7" s="68">
        <v>0</v>
      </c>
    </row>
    <row r="8" spans="1:61" ht="11.25" hidden="1" customHeight="1">
      <c r="A8" s="769"/>
      <c r="B8" s="769"/>
      <c r="C8" s="769"/>
      <c r="D8" s="769"/>
      <c r="E8" s="1276"/>
      <c r="F8" s="1276"/>
      <c r="G8" s="1276"/>
      <c r="H8" s="1276"/>
      <c r="I8" s="1278"/>
      <c r="J8" s="1278"/>
      <c r="K8" s="1277" t="e">
        <f>S4&amp;".1"</f>
        <v>#N/A</v>
      </c>
      <c r="L8" s="770"/>
      <c r="P8" s="1279"/>
      <c r="Q8" s="1279"/>
      <c r="R8" s="1335">
        <v>1</v>
      </c>
      <c r="S8" s="1332" t="e">
        <f>$K8</f>
        <v>#N/A</v>
      </c>
      <c r="T8" s="1352"/>
      <c r="U8" s="171"/>
      <c r="V8" s="306"/>
      <c r="W8" s="728"/>
      <c r="X8" s="306"/>
      <c r="Y8" s="728"/>
      <c r="Z8" s="943"/>
      <c r="AA8" s="297" t="s">
        <v>66</v>
      </c>
      <c r="AB8" s="943"/>
      <c r="AC8" s="297" t="s">
        <v>66</v>
      </c>
      <c r="AD8" s="1220" t="s">
        <v>66</v>
      </c>
      <c r="AE8" s="1328"/>
      <c r="AF8" s="1233">
        <v>1</v>
      </c>
      <c r="AG8" s="1351"/>
      <c r="AH8" s="1158" t="s">
        <v>66</v>
      </c>
      <c r="AI8" s="1328"/>
      <c r="AJ8" s="1233">
        <v>1</v>
      </c>
      <c r="AK8" s="1342" t="s">
        <v>22</v>
      </c>
      <c r="AL8" s="1158" t="s">
        <v>66</v>
      </c>
      <c r="AM8" s="1208"/>
      <c r="AN8" s="1233">
        <v>1</v>
      </c>
      <c r="AO8" s="1355"/>
      <c r="AP8" s="1356" t="s">
        <v>66</v>
      </c>
      <c r="AQ8" s="180"/>
      <c r="AR8" s="268">
        <v>1</v>
      </c>
      <c r="AS8" s="119" t="s">
        <v>22</v>
      </c>
      <c r="AT8" s="306"/>
      <c r="AU8" s="728"/>
      <c r="AV8" s="306"/>
      <c r="AW8" s="728"/>
      <c r="AX8" s="943"/>
      <c r="AY8" s="297" t="s">
        <v>66</v>
      </c>
      <c r="AZ8" s="943"/>
      <c r="BA8" s="297" t="s">
        <v>66</v>
      </c>
      <c r="BB8" s="766"/>
      <c r="BC8" s="1298" t="s">
        <v>505</v>
      </c>
      <c r="BE8" s="69"/>
      <c r="BF8" s="69" t="str">
        <f t="shared" si="0"/>
        <v/>
      </c>
      <c r="BG8" s="69"/>
      <c r="BH8" s="69"/>
      <c r="BI8" s="11">
        <v>0</v>
      </c>
    </row>
    <row r="9" spans="1:61" ht="11.25" hidden="1" customHeight="1">
      <c r="A9" s="769"/>
      <c r="B9" s="769"/>
      <c r="C9" s="769"/>
      <c r="D9" s="769"/>
      <c r="E9" s="1276"/>
      <c r="F9" s="1276"/>
      <c r="G9" s="1276"/>
      <c r="H9" s="1276"/>
      <c r="I9" s="1278"/>
      <c r="J9" s="1278"/>
      <c r="K9" s="1277"/>
      <c r="L9" s="770"/>
      <c r="P9" s="1279"/>
      <c r="Q9" s="1279"/>
      <c r="R9" s="1335"/>
      <c r="S9" s="1333"/>
      <c r="T9" s="1353"/>
      <c r="U9" s="171"/>
      <c r="V9" s="789"/>
      <c r="W9" s="819"/>
      <c r="X9" s="789"/>
      <c r="Y9" s="819"/>
      <c r="Z9" s="789"/>
      <c r="AA9" s="789"/>
      <c r="AB9" s="789"/>
      <c r="AC9" s="789"/>
      <c r="AD9" s="1221"/>
      <c r="AE9" s="1328"/>
      <c r="AF9" s="1233"/>
      <c r="AG9" s="1351"/>
      <c r="AH9" s="1158"/>
      <c r="AI9" s="1328"/>
      <c r="AJ9" s="1233"/>
      <c r="AK9" s="1342"/>
      <c r="AL9" s="1158"/>
      <c r="AM9" s="1213"/>
      <c r="AN9" s="1233"/>
      <c r="AO9" s="1355"/>
      <c r="AP9" s="1357"/>
      <c r="AQ9" s="184"/>
      <c r="AR9" s="52"/>
      <c r="AS9" s="52" t="s">
        <v>506</v>
      </c>
      <c r="AT9" s="789"/>
      <c r="AU9" s="819"/>
      <c r="AV9" s="789"/>
      <c r="AW9" s="819"/>
      <c r="AX9" s="789"/>
      <c r="AY9" s="789"/>
      <c r="AZ9" s="789"/>
      <c r="BA9" s="789"/>
      <c r="BB9" s="793"/>
      <c r="BC9" s="1299"/>
      <c r="BE9" s="69"/>
      <c r="BF9" s="69"/>
      <c r="BG9" s="69"/>
      <c r="BH9" s="69"/>
      <c r="BI9" s="11">
        <v>0</v>
      </c>
    </row>
    <row r="10" spans="1:61" ht="11.25" hidden="1" customHeight="1">
      <c r="A10" s="769"/>
      <c r="B10" s="769"/>
      <c r="C10" s="769"/>
      <c r="D10" s="769"/>
      <c r="E10" s="1276"/>
      <c r="F10" s="1276"/>
      <c r="G10" s="1276"/>
      <c r="H10" s="1276"/>
      <c r="I10" s="1278"/>
      <c r="J10" s="1278"/>
      <c r="K10" s="1277"/>
      <c r="L10" s="770"/>
      <c r="P10" s="1279"/>
      <c r="Q10" s="1279"/>
      <c r="R10" s="1335"/>
      <c r="S10" s="1333"/>
      <c r="T10" s="1353"/>
      <c r="U10" s="171"/>
      <c r="V10" s="789"/>
      <c r="W10" s="819"/>
      <c r="X10" s="789"/>
      <c r="Y10" s="819"/>
      <c r="Z10" s="789"/>
      <c r="AA10" s="789"/>
      <c r="AB10" s="789"/>
      <c r="AC10" s="789"/>
      <c r="AD10" s="1221"/>
      <c r="AE10" s="1328"/>
      <c r="AF10" s="1233"/>
      <c r="AG10" s="1351"/>
      <c r="AH10" s="1158"/>
      <c r="AI10" s="1328"/>
      <c r="AJ10" s="1233"/>
      <c r="AK10" s="1342"/>
      <c r="AL10" s="1158"/>
      <c r="AM10" s="184"/>
      <c r="AN10" s="823"/>
      <c r="AO10" s="823" t="s">
        <v>507</v>
      </c>
      <c r="AP10" s="52"/>
      <c r="AQ10" s="52"/>
      <c r="AR10" s="52"/>
      <c r="AS10" s="789"/>
      <c r="AT10" s="789"/>
      <c r="AU10" s="819"/>
      <c r="AV10" s="789"/>
      <c r="AW10" s="819"/>
      <c r="AX10" s="789"/>
      <c r="AY10" s="789"/>
      <c r="AZ10" s="789"/>
      <c r="BA10" s="789"/>
      <c r="BB10" s="793"/>
      <c r="BC10" s="1299"/>
      <c r="BE10" s="69"/>
      <c r="BF10" s="69"/>
      <c r="BG10" s="69"/>
      <c r="BH10" s="69"/>
      <c r="BI10" s="11">
        <v>0</v>
      </c>
    </row>
    <row r="11" spans="1:61" ht="11.25" hidden="1" customHeight="1">
      <c r="A11" s="769"/>
      <c r="B11" s="769"/>
      <c r="C11" s="769"/>
      <c r="D11" s="769"/>
      <c r="E11" s="1276"/>
      <c r="F11" s="1276"/>
      <c r="G11" s="1276"/>
      <c r="H11" s="1276"/>
      <c r="I11" s="1278"/>
      <c r="J11" s="1278"/>
      <c r="K11" s="1277"/>
      <c r="L11" s="770"/>
      <c r="P11" s="1279"/>
      <c r="Q11" s="1279"/>
      <c r="R11" s="1335"/>
      <c r="S11" s="1333"/>
      <c r="T11" s="1353"/>
      <c r="U11" s="171"/>
      <c r="V11" s="789"/>
      <c r="W11" s="819"/>
      <c r="X11" s="789"/>
      <c r="Y11" s="819"/>
      <c r="Z11" s="789"/>
      <c r="AA11" s="789"/>
      <c r="AB11" s="789"/>
      <c r="AC11" s="789"/>
      <c r="AD11" s="1221"/>
      <c r="AE11" s="1328"/>
      <c r="AF11" s="1233"/>
      <c r="AG11" s="1351"/>
      <c r="AH11" s="1158"/>
      <c r="AI11" s="169"/>
      <c r="AJ11" s="110"/>
      <c r="AK11" s="182" t="s">
        <v>508</v>
      </c>
      <c r="AL11" s="789"/>
      <c r="AM11" s="789"/>
      <c r="AN11" s="789"/>
      <c r="AO11" s="789"/>
      <c r="AP11" s="789"/>
      <c r="AQ11" s="789"/>
      <c r="AR11" s="789"/>
      <c r="AS11" s="789"/>
      <c r="AT11" s="789"/>
      <c r="AU11" s="819"/>
      <c r="AV11" s="789"/>
      <c r="AW11" s="819"/>
      <c r="AX11" s="789"/>
      <c r="AY11" s="789"/>
      <c r="AZ11" s="789"/>
      <c r="BA11" s="789"/>
      <c r="BB11" s="793"/>
      <c r="BC11" s="1299"/>
      <c r="BE11" s="69"/>
      <c r="BF11" s="69"/>
      <c r="BG11" s="69"/>
      <c r="BH11" s="69"/>
      <c r="BI11" s="11">
        <v>0</v>
      </c>
    </row>
    <row r="12" spans="1:61" ht="11.25" hidden="1" customHeight="1">
      <c r="A12" s="769"/>
      <c r="B12" s="769"/>
      <c r="C12" s="769"/>
      <c r="D12" s="769"/>
      <c r="E12" s="1276"/>
      <c r="F12" s="1276"/>
      <c r="G12" s="1276"/>
      <c r="H12" s="1276"/>
      <c r="I12" s="1278"/>
      <c r="J12" s="1278"/>
      <c r="K12" s="1277"/>
      <c r="L12" s="770"/>
      <c r="P12" s="1279"/>
      <c r="Q12" s="1279"/>
      <c r="R12" s="1335"/>
      <c r="S12" s="1334"/>
      <c r="T12" s="1354"/>
      <c r="U12" s="171"/>
      <c r="V12" s="789"/>
      <c r="W12" s="790" t="str">
        <f>Z8&amp;"-"&amp;AB8</f>
        <v>-</v>
      </c>
      <c r="X12" s="789"/>
      <c r="Y12" s="790" t="str">
        <f>AB8&amp;"-"&amp;AD8</f>
        <v>-да</v>
      </c>
      <c r="Z12" s="789"/>
      <c r="AA12" s="789"/>
      <c r="AB12" s="789"/>
      <c r="AC12" s="789"/>
      <c r="AD12" s="1163"/>
      <c r="AE12" s="181"/>
      <c r="AF12" s="183"/>
      <c r="AG12" s="52" t="s">
        <v>509</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299"/>
      <c r="BE12" s="69"/>
      <c r="BF12" s="69" t="str">
        <f t="shared" ref="BF12:BF18" si="1">IF(T12="","",T12)</f>
        <v/>
      </c>
      <c r="BG12" s="69"/>
      <c r="BH12" s="69"/>
      <c r="BI12" s="11">
        <v>0</v>
      </c>
    </row>
    <row r="13" spans="1:61" ht="11.25" hidden="1" customHeight="1">
      <c r="A13" s="769"/>
      <c r="B13" s="769"/>
      <c r="C13" s="769"/>
      <c r="D13" s="769"/>
      <c r="E13" s="1276"/>
      <c r="F13" s="1276"/>
      <c r="G13" s="1276"/>
      <c r="H13" s="1276"/>
      <c r="I13" s="1278"/>
      <c r="J13" s="1277"/>
      <c r="K13" s="769"/>
      <c r="L13" s="770"/>
      <c r="P13" s="1279"/>
      <c r="Q13" s="1279"/>
      <c r="R13" s="208"/>
      <c r="S13" s="742"/>
      <c r="T13" s="166" t="s">
        <v>472</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0"/>
      <c r="BE13" s="69"/>
      <c r="BF13" s="69" t="str">
        <f t="shared" si="1"/>
        <v>Добавить строку</v>
      </c>
      <c r="BG13" s="69"/>
      <c r="BH13" s="69"/>
      <c r="BI13" s="11">
        <v>0</v>
      </c>
    </row>
    <row r="14" spans="1:61" s="68" customFormat="1" ht="14.25" hidden="1" customHeight="1">
      <c r="A14" s="145"/>
      <c r="B14" s="145"/>
      <c r="C14" s="145"/>
      <c r="D14" s="145"/>
      <c r="E14" s="1276"/>
      <c r="F14" s="1276"/>
      <c r="G14" s="1276"/>
      <c r="H14" s="1276"/>
      <c r="I14" s="1277"/>
      <c r="J14" s="145"/>
      <c r="K14" s="145"/>
      <c r="L14" s="346"/>
      <c r="M14" s="290"/>
      <c r="N14" s="290"/>
      <c r="O14" s="290"/>
      <c r="P14" s="1279"/>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6"/>
      <c r="F15" s="1276"/>
      <c r="G15" s="1276"/>
      <c r="H15" s="1275"/>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6"/>
      <c r="F16" s="1276"/>
      <c r="G16" s="1275"/>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6"/>
      <c r="F17" s="1275"/>
      <c r="G17" s="145"/>
      <c r="H17" s="145"/>
      <c r="I17" s="145"/>
      <c r="J17" s="145"/>
      <c r="K17" s="145"/>
      <c r="L17" s="346"/>
      <c r="M17" s="759"/>
      <c r="N17" s="759"/>
      <c r="P17" s="104"/>
      <c r="Q17" s="755"/>
      <c r="R17" s="104"/>
      <c r="S17" s="760"/>
      <c r="T17" s="762" t="s">
        <v>419</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5"/>
      <c r="F18" s="145"/>
      <c r="G18" s="145"/>
      <c r="H18" s="145"/>
      <c r="I18" s="145"/>
      <c r="J18" s="145"/>
      <c r="K18" s="145"/>
      <c r="L18" s="346"/>
      <c r="M18" s="759"/>
      <c r="N18" s="759"/>
      <c r="P18" s="104"/>
      <c r="Q18" s="755"/>
      <c r="R18" s="104"/>
      <c r="S18" s="760"/>
      <c r="T18" s="762" t="s">
        <v>420</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421</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422</v>
      </c>
      <c r="P24" s="830"/>
      <c r="Q24" s="831"/>
      <c r="R24" s="831"/>
      <c r="AA24" s="829" t="s">
        <v>424</v>
      </c>
      <c r="AC24" s="829" t="s">
        <v>425</v>
      </c>
      <c r="AD24" s="829" t="s">
        <v>473</v>
      </c>
      <c r="AH24" s="829" t="s">
        <v>473</v>
      </c>
      <c r="AK24" s="829" t="s">
        <v>510</v>
      </c>
      <c r="AL24" s="829" t="s">
        <v>473</v>
      </c>
      <c r="AP24" s="829" t="s">
        <v>473</v>
      </c>
      <c r="AY24" s="829" t="s">
        <v>424</v>
      </c>
      <c r="BA24" s="829" t="s">
        <v>425</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59"/>
      <c r="BI28" s="11">
        <v>14</v>
      </c>
    </row>
    <row r="29" spans="1:61" ht="14.65" customHeight="1">
      <c r="Q29" s="168"/>
      <c r="R29" s="28"/>
      <c r="S29" s="1229" t="str">
        <f>IF(org=0,"Не определено",org)</f>
        <v>ООО "Инженерные сети"</v>
      </c>
      <c r="T29" s="1229"/>
      <c r="U29" s="1229"/>
      <c r="V29" s="1229"/>
      <c r="W29" s="1229"/>
      <c r="X29" s="1229"/>
      <c r="Y29" s="1229"/>
      <c r="Z29" s="1229"/>
      <c r="AA29" s="1229"/>
      <c r="AB29" s="1229"/>
      <c r="AC29" s="1229"/>
      <c r="AD29" s="1229"/>
      <c r="AE29" s="1229"/>
      <c r="AF29" s="1229"/>
      <c r="AG29" s="1229"/>
      <c r="AH29" s="1229"/>
      <c r="AI29" s="1229"/>
      <c r="AJ29" s="1229"/>
      <c r="AK29" s="1229"/>
      <c r="AL29" s="1229"/>
      <c r="AM29" s="1229"/>
      <c r="AN29" s="1229"/>
      <c r="AO29" s="1229"/>
      <c r="AP29" s="1229"/>
      <c r="AQ29" s="1229"/>
      <c r="AR29" s="1229"/>
      <c r="AS29" s="1229"/>
      <c r="AT29" s="1229"/>
      <c r="AU29" s="1229"/>
      <c r="AV29" s="1229"/>
      <c r="AW29" s="1229"/>
      <c r="AX29" s="1229"/>
      <c r="AY29" s="1229"/>
      <c r="AZ29" s="1229"/>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6" t="s">
        <v>42</v>
      </c>
      <c r="T31" s="1266"/>
      <c r="U31" s="773"/>
      <c r="V31" s="1268" t="str">
        <f>IF(TITLE_NAME_OR_PR_CHANGE="",IF(TITLE_NAME_OR_PR="","",TITLE_NAME_OR_PR),TITLE_NAME_OR_PR_CHANGE)</f>
        <v/>
      </c>
      <c r="W31" s="1268"/>
      <c r="X31" s="1268"/>
      <c r="Y31" s="1268"/>
      <c r="Z31" s="1268"/>
      <c r="AA31" s="1268"/>
      <c r="AB31" s="1268"/>
      <c r="AC31" s="11"/>
      <c r="AD31" s="1268" t="str">
        <f>IF(TITLE_NAME_OR_PR_CHANGE="",IF(TITLE_NAME_OR_PR="","",TITLE_NAME_OR_PR),TITLE_NAME_OR_PR_CHANGE)</f>
        <v/>
      </c>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6" t="s">
        <v>427</v>
      </c>
      <c r="T32" s="1266"/>
      <c r="U32" s="773"/>
      <c r="V32" s="1267" t="str">
        <f>IF(TITLE_DATE_PR_CHANGE="",IF(TITLE_DATE_PR="","",TITLE_DATE_PR),TITLE_DATE_PR_CHANGE)</f>
        <v/>
      </c>
      <c r="W32" s="1267"/>
      <c r="X32" s="1267"/>
      <c r="Y32" s="1267"/>
      <c r="Z32" s="1267"/>
      <c r="AA32" s="1267"/>
      <c r="AB32" s="1267"/>
      <c r="AC32" s="11"/>
      <c r="AD32" s="1267" t="str">
        <f>IF(TITLE_DATE_PR_CHANGE="",IF(TITLE_DATE_PR="","",TITLE_DATE_PR),TITLE_DATE_PR_CHANGE)</f>
        <v/>
      </c>
      <c r="AE32" s="1267"/>
      <c r="AF32" s="1267"/>
      <c r="AG32" s="1267"/>
      <c r="AH32" s="1267"/>
      <c r="AI32" s="1267"/>
      <c r="AJ32" s="1267"/>
      <c r="AK32" s="1267"/>
      <c r="AL32" s="1267"/>
      <c r="AM32" s="1267"/>
      <c r="AN32" s="1267"/>
      <c r="AO32" s="1267"/>
      <c r="AP32" s="1267"/>
      <c r="AQ32" s="1267"/>
      <c r="AR32" s="1267"/>
      <c r="AS32" s="1267"/>
      <c r="AT32" s="1267"/>
      <c r="AU32" s="1267"/>
      <c r="AV32" s="1267"/>
      <c r="AW32" s="1267"/>
      <c r="AX32" s="1267"/>
      <c r="AY32" s="1267"/>
      <c r="AZ32" s="1267"/>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6" t="s">
        <v>428</v>
      </c>
      <c r="T33" s="1266"/>
      <c r="U33" s="773"/>
      <c r="V33" s="1268" t="str">
        <f>IF(TITLE_NUMBER_PR_CHANGE="",IF(TITLE_NUMBER_PR="","",TITLE_NUMBER_PR),TITLE_NUMBER_PR_CHANGE)</f>
        <v/>
      </c>
      <c r="W33" s="1268"/>
      <c r="X33" s="1268"/>
      <c r="Y33" s="1268"/>
      <c r="Z33" s="1268"/>
      <c r="AA33" s="1268"/>
      <c r="AB33" s="1268"/>
      <c r="AC33" s="11"/>
      <c r="AD33" s="1268" t="str">
        <f>IF(TITLE_NUMBER_PR_CHANGE="",IF(TITLE_NUMBER_PR="","",TITLE_NUMBER_PR),TITLE_NUMBER_PR_CHANGE)</f>
        <v/>
      </c>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6" t="s">
        <v>43</v>
      </c>
      <c r="T34" s="1266"/>
      <c r="U34" s="773"/>
      <c r="V34" s="1268" t="str">
        <f>IF(TITLE_IST_PUB_CHANGE="",IF(TITLE_IST_PUB="","",TITLE_IST_PUB),TITLE_IST_PUB_CHANGE)</f>
        <v/>
      </c>
      <c r="W34" s="1268"/>
      <c r="X34" s="1268"/>
      <c r="Y34" s="1268"/>
      <c r="Z34" s="1268"/>
      <c r="AA34" s="1268"/>
      <c r="AB34" s="1268"/>
      <c r="AC34" s="11"/>
      <c r="AD34" s="1268" t="str">
        <f>IF(TITLE_IST_PUB_CHANGE="",IF(TITLE_IST_PUB="","",TITLE_IST_PUB),TITLE_IST_PUB_CHANGE)</f>
        <v/>
      </c>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6" t="s">
        <v>427</v>
      </c>
      <c r="T36" s="1266"/>
      <c r="U36" s="773"/>
      <c r="V36" s="1267" t="str">
        <f>IF(TITLE_DATE_PR_CHANGE="",IF(TITLE_DATE_PR="","",TITLE_DATE_PR),TITLE_DATE_PR_CHANGE)</f>
        <v/>
      </c>
      <c r="W36" s="1267"/>
      <c r="X36" s="1267"/>
      <c r="Y36" s="1267"/>
      <c r="Z36" s="1267"/>
      <c r="AA36" s="1267"/>
      <c r="AB36" s="1267"/>
      <c r="AC36" s="11"/>
      <c r="AD36" s="1267" t="str">
        <f>IF(TITLE_DATE_PR_CHANGE="",IF(TITLE_DATE_PR="","",TITLE_DATE_PR),TITLE_DATE_PR_CHANGE)</f>
        <v/>
      </c>
      <c r="AE36" s="1267"/>
      <c r="AF36" s="1267"/>
      <c r="AG36" s="1267"/>
      <c r="AH36" s="1267"/>
      <c r="AI36" s="1267"/>
      <c r="AJ36" s="1267"/>
      <c r="AK36" s="1267"/>
      <c r="AL36" s="1267"/>
      <c r="AM36" s="1267"/>
      <c r="AN36" s="1267"/>
      <c r="AO36" s="1267"/>
      <c r="AP36" s="1267"/>
      <c r="AQ36" s="1267"/>
      <c r="AR36" s="1267"/>
      <c r="AS36" s="1267"/>
      <c r="AT36" s="1267"/>
      <c r="AU36" s="1267"/>
      <c r="AV36" s="1267"/>
      <c r="AW36" s="1267"/>
      <c r="AX36" s="1267"/>
      <c r="AY36" s="1267"/>
      <c r="AZ36" s="1267"/>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6" t="s">
        <v>428</v>
      </c>
      <c r="T37" s="1266"/>
      <c r="U37" s="773"/>
      <c r="V37" s="1268" t="str">
        <f>IF(TITLE_NUMBER_PR_CHANGE="",IF(TITLE_NUMBER_PR="","",TITLE_NUMBER_PR),TITLE_NUMBER_PR_CHANGE)</f>
        <v/>
      </c>
      <c r="W37" s="1268"/>
      <c r="X37" s="1268"/>
      <c r="Y37" s="1268"/>
      <c r="Z37" s="1268"/>
      <c r="AA37" s="1268"/>
      <c r="AB37" s="1268"/>
      <c r="AC37" s="11"/>
      <c r="AD37" s="1268" t="str">
        <f>IF(TITLE_NUMBER_PR_CHANGE="",IF(TITLE_NUMBER_PR="","",TITLE_NUMBER_PR),TITLE_NUMBER_PR_CHANGE)</f>
        <v/>
      </c>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431</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431</v>
      </c>
      <c r="BD38" s="69"/>
      <c r="BE38" s="69"/>
      <c r="BF38" s="69"/>
      <c r="BG38" s="69"/>
      <c r="BH38" s="69"/>
      <c r="BI38" s="35">
        <v>0</v>
      </c>
    </row>
    <row r="39" spans="1:61" ht="14.65" customHeight="1">
      <c r="Q39" s="168"/>
      <c r="R39" s="28"/>
      <c r="S39" s="739"/>
      <c r="T39" s="10"/>
      <c r="U39" s="720"/>
      <c r="V39" s="1287"/>
      <c r="W39" s="1287"/>
      <c r="X39" s="1287"/>
      <c r="Y39" s="1287"/>
      <c r="Z39" s="1287"/>
      <c r="AA39" s="1287"/>
      <c r="AB39" s="1287"/>
      <c r="AC39" s="1287"/>
      <c r="AD39" s="1287"/>
      <c r="AE39" s="1287"/>
      <c r="AF39" s="1287"/>
      <c r="AG39" s="1287"/>
      <c r="AH39" s="1287"/>
      <c r="AI39" s="1287"/>
      <c r="AJ39" s="1287"/>
      <c r="AK39" s="1287"/>
      <c r="AL39" s="1287"/>
      <c r="AM39" s="1287"/>
      <c r="AN39" s="1287"/>
      <c r="AO39" s="1287"/>
      <c r="AP39" s="1287"/>
      <c r="AQ39" s="1287"/>
      <c r="AR39" s="1287"/>
      <c r="AS39" s="1287"/>
      <c r="AT39" s="1287"/>
      <c r="AU39" s="1287"/>
      <c r="AV39" s="1287"/>
      <c r="AW39" s="1287"/>
      <c r="AX39" s="1287"/>
      <c r="AY39" s="1287"/>
      <c r="AZ39" s="1287"/>
      <c r="BA39" s="1287"/>
      <c r="BI39" s="11">
        <v>14</v>
      </c>
    </row>
    <row r="40" spans="1:61" ht="14.65" customHeight="1">
      <c r="Q40" s="168"/>
      <c r="R40" s="28"/>
      <c r="S40" s="1148" t="s">
        <v>304</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305</v>
      </c>
      <c r="BI40" s="11">
        <v>14</v>
      </c>
    </row>
    <row r="41" spans="1:61" ht="14.65" customHeight="1">
      <c r="Q41" s="168"/>
      <c r="R41" s="28"/>
      <c r="S41" s="1288" t="s">
        <v>88</v>
      </c>
      <c r="T41" s="1237" t="s">
        <v>511</v>
      </c>
      <c r="U41" s="172"/>
      <c r="V41" s="1289" t="s">
        <v>433</v>
      </c>
      <c r="W41" s="1290"/>
      <c r="X41" s="1290"/>
      <c r="Y41" s="1290"/>
      <c r="Z41" s="1290"/>
      <c r="AA41" s="1290"/>
      <c r="AB41" s="1291"/>
      <c r="AC41" s="1292" t="s">
        <v>434</v>
      </c>
      <c r="AD41" s="1321" t="s">
        <v>512</v>
      </c>
      <c r="AE41" s="1305"/>
      <c r="AF41" s="1305"/>
      <c r="AG41" s="1322"/>
      <c r="AH41" s="1321" t="s">
        <v>513</v>
      </c>
      <c r="AI41" s="1305"/>
      <c r="AJ41" s="1305"/>
      <c r="AK41" s="1322"/>
      <c r="AL41" s="1321" t="s">
        <v>514</v>
      </c>
      <c r="AM41" s="1305"/>
      <c r="AN41" s="1305"/>
      <c r="AO41" s="1322"/>
      <c r="AP41" s="1321" t="s">
        <v>515</v>
      </c>
      <c r="AQ41" s="1305"/>
      <c r="AR41" s="1305"/>
      <c r="AS41" s="1322"/>
      <c r="AT41" s="1289" t="s">
        <v>433</v>
      </c>
      <c r="AU41" s="1290"/>
      <c r="AV41" s="1290"/>
      <c r="AW41" s="1290"/>
      <c r="AX41" s="1290"/>
      <c r="AY41" s="1290"/>
      <c r="AZ41" s="1291"/>
      <c r="BA41" s="1292" t="s">
        <v>434</v>
      </c>
      <c r="BB41" s="1295" t="s">
        <v>436</v>
      </c>
      <c r="BC41" s="1148"/>
      <c r="BI41" s="11">
        <v>14</v>
      </c>
    </row>
    <row r="42" spans="1:61" ht="35.65" customHeight="1">
      <c r="Q42" s="168"/>
      <c r="R42" s="28"/>
      <c r="S42" s="1288"/>
      <c r="T42" s="1237"/>
      <c r="U42" s="607"/>
      <c r="V42" s="1208" t="s">
        <v>516</v>
      </c>
      <c r="W42" s="1209"/>
      <c r="X42" s="1208" t="s">
        <v>517</v>
      </c>
      <c r="Y42" s="1209"/>
      <c r="Z42" s="1208" t="s">
        <v>518</v>
      </c>
      <c r="AA42" s="1317"/>
      <c r="AB42" s="1209"/>
      <c r="AC42" s="1293"/>
      <c r="AD42" s="1323"/>
      <c r="AE42" s="1324"/>
      <c r="AF42" s="1324"/>
      <c r="AG42" s="1336"/>
      <c r="AH42" s="1323"/>
      <c r="AI42" s="1324"/>
      <c r="AJ42" s="1324"/>
      <c r="AK42" s="1336"/>
      <c r="AL42" s="1323"/>
      <c r="AM42" s="1324"/>
      <c r="AN42" s="1324"/>
      <c r="AO42" s="1336"/>
      <c r="AP42" s="1323"/>
      <c r="AQ42" s="1324"/>
      <c r="AR42" s="1324"/>
      <c r="AS42" s="1336"/>
      <c r="AT42" s="1208" t="s">
        <v>516</v>
      </c>
      <c r="AU42" s="1209"/>
      <c r="AV42" s="1208" t="s">
        <v>517</v>
      </c>
      <c r="AW42" s="1209"/>
      <c r="AX42" s="1208" t="s">
        <v>518</v>
      </c>
      <c r="AY42" s="1317"/>
      <c r="AZ42" s="1209"/>
      <c r="BA42" s="1293"/>
      <c r="BB42" s="1296"/>
      <c r="BC42" s="1148"/>
      <c r="BI42" s="11">
        <v>34</v>
      </c>
    </row>
    <row r="43" spans="1:61" ht="14.65" customHeight="1">
      <c r="Q43" s="168"/>
      <c r="R43" s="28"/>
      <c r="S43" s="1288"/>
      <c r="T43" s="1237"/>
      <c r="U43" s="607"/>
      <c r="V43" s="1213"/>
      <c r="W43" s="1214"/>
      <c r="X43" s="1213"/>
      <c r="Y43" s="1214"/>
      <c r="Z43" s="1213"/>
      <c r="AA43" s="1318"/>
      <c r="AB43" s="1214"/>
      <c r="AC43" s="1293"/>
      <c r="AD43" s="1323"/>
      <c r="AE43" s="1324"/>
      <c r="AF43" s="1324"/>
      <c r="AG43" s="1336"/>
      <c r="AH43" s="1323"/>
      <c r="AI43" s="1324"/>
      <c r="AJ43" s="1324"/>
      <c r="AK43" s="1336"/>
      <c r="AL43" s="1323"/>
      <c r="AM43" s="1324"/>
      <c r="AN43" s="1324"/>
      <c r="AO43" s="1336"/>
      <c r="AP43" s="1323"/>
      <c r="AQ43" s="1324"/>
      <c r="AR43" s="1324"/>
      <c r="AS43" s="1336"/>
      <c r="AT43" s="1213"/>
      <c r="AU43" s="1214"/>
      <c r="AV43" s="1213"/>
      <c r="AW43" s="1214"/>
      <c r="AX43" s="1213"/>
      <c r="AY43" s="1318"/>
      <c r="AZ43" s="1214"/>
      <c r="BA43" s="1293"/>
      <c r="BB43" s="1296"/>
      <c r="BC43" s="1148"/>
      <c r="BI43" s="11">
        <v>14</v>
      </c>
    </row>
    <row r="44" spans="1:61" ht="14.65" customHeight="1">
      <c r="A44" s="82"/>
      <c r="B44" s="82" t="s">
        <v>141</v>
      </c>
      <c r="C44" s="82" t="s">
        <v>142</v>
      </c>
      <c r="D44" s="82" t="s">
        <v>143</v>
      </c>
      <c r="E44" s="770" t="s">
        <v>441</v>
      </c>
      <c r="F44" s="770" t="s">
        <v>442</v>
      </c>
      <c r="G44" s="770" t="s">
        <v>443</v>
      </c>
      <c r="H44" s="770" t="s">
        <v>444</v>
      </c>
      <c r="I44" s="770" t="s">
        <v>445</v>
      </c>
      <c r="J44" s="770" t="s">
        <v>446</v>
      </c>
      <c r="K44" s="770" t="s">
        <v>447</v>
      </c>
      <c r="L44" s="770" t="s">
        <v>422</v>
      </c>
      <c r="Q44" s="168"/>
      <c r="R44" s="28"/>
      <c r="S44" s="1288"/>
      <c r="T44" s="1237"/>
      <c r="U44" s="173"/>
      <c r="V44" s="36" t="s">
        <v>482</v>
      </c>
      <c r="W44" s="36" t="s">
        <v>483</v>
      </c>
      <c r="X44" s="36" t="s">
        <v>482</v>
      </c>
      <c r="Y44" s="36" t="s">
        <v>483</v>
      </c>
      <c r="Z44" s="39" t="s">
        <v>450</v>
      </c>
      <c r="AA44" s="1242" t="s">
        <v>451</v>
      </c>
      <c r="AB44" s="1255"/>
      <c r="AC44" s="1294"/>
      <c r="AD44" s="1325"/>
      <c r="AE44" s="1326"/>
      <c r="AF44" s="1326"/>
      <c r="AG44" s="1327"/>
      <c r="AH44" s="1325"/>
      <c r="AI44" s="1326"/>
      <c r="AJ44" s="1326"/>
      <c r="AK44" s="1327"/>
      <c r="AL44" s="1325"/>
      <c r="AM44" s="1326"/>
      <c r="AN44" s="1326"/>
      <c r="AO44" s="1327"/>
      <c r="AP44" s="1325"/>
      <c r="AQ44" s="1326"/>
      <c r="AR44" s="1326"/>
      <c r="AS44" s="1327"/>
      <c r="AT44" s="36" t="s">
        <v>482</v>
      </c>
      <c r="AU44" s="36" t="s">
        <v>483</v>
      </c>
      <c r="AV44" s="36" t="s">
        <v>482</v>
      </c>
      <c r="AW44" s="36" t="s">
        <v>483</v>
      </c>
      <c r="AX44" s="39" t="s">
        <v>450</v>
      </c>
      <c r="AY44" s="1242" t="s">
        <v>451</v>
      </c>
      <c r="AZ44" s="1255"/>
      <c r="BA44" s="1294"/>
      <c r="BB44" s="1297"/>
      <c r="BC44" s="1148"/>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115</v>
      </c>
      <c r="T45" s="726" t="s">
        <v>103</v>
      </c>
      <c r="U45" s="721" t="str">
        <f ca="1">OFFSET(U45,0,-1)</f>
        <v>2</v>
      </c>
      <c r="V45" s="727">
        <f t="shared" ref="V45:AA45" ca="1" si="2">OFFSET(V45,0,-1)+1</f>
        <v>3</v>
      </c>
      <c r="W45" s="727">
        <f t="shared" ca="1" si="2"/>
        <v>4</v>
      </c>
      <c r="X45" s="727">
        <f t="shared" ca="1" si="2"/>
        <v>5</v>
      </c>
      <c r="Y45" s="727">
        <f t="shared" ca="1" si="2"/>
        <v>6</v>
      </c>
      <c r="Z45" s="727">
        <f t="shared" ca="1" si="2"/>
        <v>7</v>
      </c>
      <c r="AA45" s="1286">
        <f t="shared" ca="1" si="2"/>
        <v>8</v>
      </c>
      <c r="AB45" s="1286"/>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6">
        <f ca="1">OFFSET(AY45,0,-1)+1</f>
        <v>3</v>
      </c>
      <c r="AZ45" s="1286"/>
      <c r="BA45" s="727">
        <f ca="1">OFFSET(BA45,0,-2)+1</f>
        <v>4</v>
      </c>
      <c r="BB45" s="721">
        <f ca="1">OFFSET(BB45,0,-1)</f>
        <v>4</v>
      </c>
      <c r="BC45" s="727">
        <f ca="1">OFFSET(BC45,0,-1)+1</f>
        <v>5</v>
      </c>
      <c r="BD45" s="68"/>
      <c r="BE45" s="68"/>
      <c r="BF45" s="68"/>
      <c r="BG45" s="68"/>
      <c r="BH45" s="68"/>
      <c r="BI45" s="203">
        <v>0</v>
      </c>
    </row>
    <row r="46" spans="1:61" ht="21.95" customHeight="1">
      <c r="A46" s="769" t="s">
        <v>265</v>
      </c>
      <c r="B46" s="769"/>
      <c r="C46" s="769"/>
      <c r="D46" s="769"/>
      <c r="E46" s="1275">
        <v>1</v>
      </c>
      <c r="F46" s="769"/>
      <c r="G46" s="769"/>
      <c r="H46" s="769"/>
      <c r="I46" s="769"/>
      <c r="J46" s="769"/>
      <c r="K46" s="769"/>
      <c r="L46" s="770"/>
      <c r="M46" s="426"/>
      <c r="N46" s="426"/>
      <c r="O46" s="426"/>
      <c r="Q46" s="62"/>
      <c r="R46" s="207"/>
      <c r="S46" s="709">
        <f>INDEX(PT_DIFFERENTIATION_NUM_NTAR,MATCH(A46,PT_DIFFERENTIATION_NTAR_ID,0))</f>
        <v>0</v>
      </c>
      <c r="T46" s="67" t="s">
        <v>129</v>
      </c>
      <c r="U46" s="171"/>
      <c r="V46" s="1270"/>
      <c r="W46" s="1270"/>
      <c r="X46" s="1270"/>
      <c r="Y46" s="1270"/>
      <c r="Z46" s="1270"/>
      <c r="AA46" s="1270"/>
      <c r="AB46" s="1270"/>
      <c r="AC46" s="1271"/>
      <c r="AD46" s="1269" t="str">
        <f>INDEX(PT_DIFFERENTIATION_NTAR,MATCH(A46,PT_DIFFERENTIATION_NTAR_ID,0))</f>
        <v/>
      </c>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1"/>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265</v>
      </c>
      <c r="B47" s="769" t="s">
        <v>266</v>
      </c>
      <c r="C47" s="769"/>
      <c r="D47" s="769"/>
      <c r="E47" s="1276"/>
      <c r="F47" s="1275">
        <v>1</v>
      </c>
      <c r="G47" s="769"/>
      <c r="H47" s="769"/>
      <c r="I47" s="769"/>
      <c r="J47" s="769"/>
      <c r="K47" s="769"/>
      <c r="L47" s="770"/>
      <c r="M47" s="426"/>
      <c r="N47" s="426"/>
      <c r="O47" s="426"/>
      <c r="P47" s="301"/>
      <c r="Q47" s="802"/>
      <c r="R47" s="205"/>
      <c r="S47" s="709" t="str">
        <f>INDEX(PT_DIFFERENTIATION_NUM_TER,MATCH(B47,PT_DIFFERENTIATION_TER_ID,0))</f>
        <v>.</v>
      </c>
      <c r="T47" s="177" t="s">
        <v>401</v>
      </c>
      <c r="U47" s="171"/>
      <c r="V47" s="1270"/>
      <c r="W47" s="1270"/>
      <c r="X47" s="1270"/>
      <c r="Y47" s="1270"/>
      <c r="Z47" s="1270"/>
      <c r="AA47" s="1270"/>
      <c r="AB47" s="1270"/>
      <c r="AC47" s="1271"/>
      <c r="AD47" s="1269" t="str">
        <f>INDEX(PT_DIFFERENTIATION_TER,MATCH(B47,PT_DIFFERENTIATION_TER_ID,0))</f>
        <v/>
      </c>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1"/>
      <c r="BC47" s="729" t="s">
        <v>402</v>
      </c>
      <c r="BE47" s="69"/>
      <c r="BF47" s="69" t="str">
        <f t="shared" si="3"/>
        <v>Территория действия тарифа</v>
      </c>
      <c r="BG47" s="69"/>
      <c r="BH47" s="69"/>
      <c r="BI47" s="11">
        <v>21</v>
      </c>
    </row>
    <row r="48" spans="1:61" ht="35.65" customHeight="1">
      <c r="A48" s="769" t="s">
        <v>265</v>
      </c>
      <c r="B48" s="769" t="s">
        <v>266</v>
      </c>
      <c r="C48" s="769" t="s">
        <v>267</v>
      </c>
      <c r="D48" s="769"/>
      <c r="E48" s="1276"/>
      <c r="F48" s="1276"/>
      <c r="G48" s="1275">
        <v>1</v>
      </c>
      <c r="H48" s="769"/>
      <c r="I48" s="769"/>
      <c r="J48" s="769"/>
      <c r="K48" s="769"/>
      <c r="L48" s="770"/>
      <c r="M48" s="426"/>
      <c r="N48" s="426"/>
      <c r="O48" s="426"/>
      <c r="P48" s="131"/>
      <c r="Q48" s="802"/>
      <c r="R48" s="205"/>
      <c r="S48" s="709" t="str">
        <f>INDEX(PT_DIFFERENTIATION_NUM_CS,MATCH(C48,PT_DIFFERENTIATION_CS_ID,0))</f>
        <v>..</v>
      </c>
      <c r="T48" s="178" t="s">
        <v>534</v>
      </c>
      <c r="U48" s="171"/>
      <c r="V48" s="1270"/>
      <c r="W48" s="1270"/>
      <c r="X48" s="1270"/>
      <c r="Y48" s="1270"/>
      <c r="Z48" s="1270"/>
      <c r="AA48" s="1270"/>
      <c r="AB48" s="1270"/>
      <c r="AC48" s="1271"/>
      <c r="AD48" s="1269" t="str">
        <f>INDEX(PT_DIFFERENTIATION_CS,MATCH(C48,PT_DIFFERENTIATION_CS_ID,0))</f>
        <v/>
      </c>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1"/>
      <c r="BC48" s="729" t="s">
        <v>535</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265</v>
      </c>
      <c r="B49" s="145" t="s">
        <v>266</v>
      </c>
      <c r="C49" s="145" t="s">
        <v>267</v>
      </c>
      <c r="D49" s="145" t="s">
        <v>548</v>
      </c>
      <c r="E49" s="1276"/>
      <c r="F49" s="1276"/>
      <c r="G49" s="1276"/>
      <c r="H49" s="1275">
        <v>1</v>
      </c>
      <c r="I49" s="145"/>
      <c r="J49" s="145"/>
      <c r="K49" s="145"/>
      <c r="L49" s="346"/>
      <c r="M49" s="293"/>
      <c r="N49" s="293"/>
      <c r="O49" s="293"/>
      <c r="P49" s="820"/>
      <c r="Q49" s="821"/>
      <c r="R49" s="209"/>
      <c r="S49" s="362"/>
      <c r="T49" s="822"/>
      <c r="U49" s="780"/>
      <c r="V49" s="1307"/>
      <c r="W49" s="1307"/>
      <c r="X49" s="1307"/>
      <c r="Y49" s="1307"/>
      <c r="Z49" s="1307"/>
      <c r="AA49" s="1307"/>
      <c r="AB49" s="1307"/>
      <c r="AC49" s="1308"/>
      <c r="AD49" s="1306"/>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8"/>
      <c r="BC49" s="781" t="s">
        <v>406</v>
      </c>
      <c r="BE49" s="69"/>
      <c r="BF49" s="69" t="str">
        <f t="shared" si="3"/>
        <v/>
      </c>
      <c r="BG49" s="69"/>
      <c r="BH49" s="69"/>
      <c r="BI49" s="68">
        <v>0</v>
      </c>
    </row>
    <row r="50" spans="1:61" s="68" customFormat="1" ht="0" hidden="1" customHeight="1">
      <c r="A50" s="145" t="s">
        <v>265</v>
      </c>
      <c r="B50" s="145" t="s">
        <v>266</v>
      </c>
      <c r="C50" s="145" t="s">
        <v>267</v>
      </c>
      <c r="D50" s="145" t="s">
        <v>548</v>
      </c>
      <c r="E50" s="1276"/>
      <c r="F50" s="1276"/>
      <c r="G50" s="1276"/>
      <c r="H50" s="1276"/>
      <c r="I50" s="1277" t="str">
        <f>S49&amp;".1"</f>
        <v>.1</v>
      </c>
      <c r="J50" s="145"/>
      <c r="K50" s="145"/>
      <c r="L50" s="346" t="s">
        <v>407</v>
      </c>
      <c r="M50" s="290"/>
      <c r="N50" s="290"/>
      <c r="O50" s="290"/>
      <c r="P50" s="1279">
        <v>1</v>
      </c>
      <c r="Q50" s="122"/>
      <c r="R50" s="208"/>
      <c r="S50" s="362"/>
      <c r="T50" s="779"/>
      <c r="U50" s="780"/>
      <c r="V50" s="1307"/>
      <c r="W50" s="1307"/>
      <c r="X50" s="1307"/>
      <c r="Y50" s="1307"/>
      <c r="Z50" s="1307"/>
      <c r="AA50" s="1307"/>
      <c r="AB50" s="1307"/>
      <c r="AC50" s="1308"/>
      <c r="AD50" s="1306"/>
      <c r="AE50" s="1307"/>
      <c r="AF50" s="1307"/>
      <c r="AG50" s="1307"/>
      <c r="AH50" s="1307"/>
      <c r="AI50" s="1307"/>
      <c r="AJ50" s="1307"/>
      <c r="AK50" s="1307"/>
      <c r="AL50" s="1307"/>
      <c r="AM50" s="1307"/>
      <c r="AN50" s="1307"/>
      <c r="AO50" s="1307"/>
      <c r="AP50" s="1307"/>
      <c r="AQ50" s="1307"/>
      <c r="AR50" s="1307"/>
      <c r="AS50" s="1307"/>
      <c r="AT50" s="1307"/>
      <c r="AU50" s="1307"/>
      <c r="AV50" s="1307"/>
      <c r="AW50" s="1307"/>
      <c r="AX50" s="1307"/>
      <c r="AY50" s="1307"/>
      <c r="AZ50" s="1307"/>
      <c r="BA50" s="1307"/>
      <c r="BB50" s="1308"/>
      <c r="BC50" s="781"/>
      <c r="BE50" s="69"/>
      <c r="BF50" s="69" t="str">
        <f t="shared" si="3"/>
        <v/>
      </c>
      <c r="BG50" s="69"/>
      <c r="BH50" s="69"/>
      <c r="BI50" s="68">
        <v>0</v>
      </c>
    </row>
    <row r="51" spans="1:61" s="68" customFormat="1" ht="0" hidden="1" customHeight="1">
      <c r="A51" s="145" t="s">
        <v>265</v>
      </c>
      <c r="B51" s="145" t="s">
        <v>266</v>
      </c>
      <c r="C51" s="145" t="s">
        <v>267</v>
      </c>
      <c r="D51" s="145" t="s">
        <v>548</v>
      </c>
      <c r="E51" s="1276"/>
      <c r="F51" s="1276"/>
      <c r="G51" s="1276"/>
      <c r="H51" s="1276"/>
      <c r="I51" s="1278"/>
      <c r="J51" s="1277" t="str">
        <f>S49&amp;".1"</f>
        <v>.1</v>
      </c>
      <c r="K51" s="145"/>
      <c r="L51" s="346"/>
      <c r="M51" s="290"/>
      <c r="N51" s="290"/>
      <c r="O51" s="290"/>
      <c r="P51" s="1279"/>
      <c r="Q51" s="1279">
        <v>1</v>
      </c>
      <c r="R51" s="209"/>
      <c r="S51" s="362"/>
      <c r="T51" s="794"/>
      <c r="U51" s="780"/>
      <c r="V51" s="1307"/>
      <c r="W51" s="1307"/>
      <c r="X51" s="1307"/>
      <c r="Y51" s="1307"/>
      <c r="Z51" s="1307"/>
      <c r="AA51" s="1307"/>
      <c r="AB51" s="1307"/>
      <c r="AC51" s="1308"/>
      <c r="AD51" s="1306"/>
      <c r="AE51" s="1307"/>
      <c r="AF51" s="1307"/>
      <c r="AG51" s="1307"/>
      <c r="AH51" s="1307"/>
      <c r="AI51" s="1307"/>
      <c r="AJ51" s="1307"/>
      <c r="AK51" s="1307"/>
      <c r="AL51" s="1307"/>
      <c r="AM51" s="1307"/>
      <c r="AN51" s="1358"/>
      <c r="AO51" s="1358"/>
      <c r="AP51" s="1307"/>
      <c r="AQ51" s="1307"/>
      <c r="AR51" s="1307"/>
      <c r="AS51" s="1307"/>
      <c r="AT51" s="1307"/>
      <c r="AU51" s="1307"/>
      <c r="AV51" s="1307"/>
      <c r="AW51" s="1307"/>
      <c r="AX51" s="1307"/>
      <c r="AY51" s="1307"/>
      <c r="AZ51" s="1307"/>
      <c r="BA51" s="1307"/>
      <c r="BB51" s="1308"/>
      <c r="BC51" s="781"/>
      <c r="BE51" s="69"/>
      <c r="BF51" s="69" t="str">
        <f t="shared" si="3"/>
        <v/>
      </c>
      <c r="BG51" s="69"/>
      <c r="BH51" s="69"/>
      <c r="BI51" s="68">
        <v>0</v>
      </c>
    </row>
    <row r="52" spans="1:61" ht="11.45" customHeight="1">
      <c r="A52" s="769" t="s">
        <v>265</v>
      </c>
      <c r="B52" s="769" t="s">
        <v>266</v>
      </c>
      <c r="C52" s="769" t="s">
        <v>267</v>
      </c>
      <c r="D52" s="769" t="s">
        <v>548</v>
      </c>
      <c r="E52" s="1276"/>
      <c r="F52" s="1276"/>
      <c r="G52" s="1276"/>
      <c r="H52" s="1276"/>
      <c r="I52" s="1278"/>
      <c r="J52" s="1278"/>
      <c r="K52" s="1277" t="str">
        <f>S48&amp;".1"</f>
        <v>...1</v>
      </c>
      <c r="L52" s="770"/>
      <c r="P52" s="1279"/>
      <c r="Q52" s="1279"/>
      <c r="R52" s="209">
        <v>1</v>
      </c>
      <c r="S52" s="1332" t="str">
        <f>$K52</f>
        <v>...1</v>
      </c>
      <c r="T52" s="1352"/>
      <c r="U52" s="171"/>
      <c r="V52" s="306"/>
      <c r="W52" s="728"/>
      <c r="X52" s="306"/>
      <c r="Y52" s="728"/>
      <c r="Z52" s="943"/>
      <c r="AA52" s="297" t="s">
        <v>66</v>
      </c>
      <c r="AB52" s="943"/>
      <c r="AC52" s="297" t="s">
        <v>66</v>
      </c>
      <c r="AD52" s="1220" t="s">
        <v>66</v>
      </c>
      <c r="AE52" s="1328"/>
      <c r="AF52" s="1233">
        <v>1</v>
      </c>
      <c r="AG52" s="1351"/>
      <c r="AH52" s="1158" t="s">
        <v>66</v>
      </c>
      <c r="AI52" s="1328"/>
      <c r="AJ52" s="1233">
        <v>1</v>
      </c>
      <c r="AK52" s="1342" t="s">
        <v>22</v>
      </c>
      <c r="AL52" s="1158" t="s">
        <v>66</v>
      </c>
      <c r="AM52" s="1208"/>
      <c r="AN52" s="1233">
        <v>1</v>
      </c>
      <c r="AO52" s="1355"/>
      <c r="AP52" s="1356" t="s">
        <v>66</v>
      </c>
      <c r="AQ52" s="180"/>
      <c r="AR52" s="268">
        <v>1</v>
      </c>
      <c r="AS52" s="119" t="s">
        <v>22</v>
      </c>
      <c r="AT52" s="306"/>
      <c r="AU52" s="728"/>
      <c r="AV52" s="306"/>
      <c r="AW52" s="728"/>
      <c r="AX52" s="943"/>
      <c r="AY52" s="297" t="s">
        <v>66</v>
      </c>
      <c r="AZ52" s="943"/>
      <c r="BA52" s="297" t="s">
        <v>66</v>
      </c>
      <c r="BB52" s="766"/>
      <c r="BC52" s="1298" t="s">
        <v>505</v>
      </c>
      <c r="BE52" s="69"/>
      <c r="BF52" s="69" t="str">
        <f t="shared" si="3"/>
        <v/>
      </c>
      <c r="BG52" s="69"/>
      <c r="BH52" s="69"/>
      <c r="BI52" s="11">
        <v>11</v>
      </c>
    </row>
    <row r="53" spans="1:61" ht="11.45" customHeight="1">
      <c r="A53" s="769"/>
      <c r="B53" s="769"/>
      <c r="C53" s="769"/>
      <c r="D53" s="769"/>
      <c r="E53" s="1276"/>
      <c r="F53" s="1276"/>
      <c r="G53" s="1276"/>
      <c r="H53" s="1276"/>
      <c r="I53" s="1278"/>
      <c r="J53" s="1278"/>
      <c r="K53" s="1277"/>
      <c r="L53" s="770"/>
      <c r="P53" s="1279"/>
      <c r="Q53" s="1279"/>
      <c r="R53" s="209"/>
      <c r="S53" s="1333"/>
      <c r="T53" s="1353"/>
      <c r="U53" s="171"/>
      <c r="V53" s="789"/>
      <c r="W53" s="819"/>
      <c r="X53" s="789"/>
      <c r="Y53" s="819"/>
      <c r="Z53" s="789"/>
      <c r="AA53" s="789"/>
      <c r="AB53" s="789"/>
      <c r="AC53" s="789"/>
      <c r="AD53" s="1221"/>
      <c r="AE53" s="1328"/>
      <c r="AF53" s="1233"/>
      <c r="AG53" s="1351"/>
      <c r="AH53" s="1158"/>
      <c r="AI53" s="1328"/>
      <c r="AJ53" s="1233"/>
      <c r="AK53" s="1342"/>
      <c r="AL53" s="1158"/>
      <c r="AM53" s="1213"/>
      <c r="AN53" s="1233"/>
      <c r="AO53" s="1355"/>
      <c r="AP53" s="1357"/>
      <c r="AQ53" s="184"/>
      <c r="AR53" s="52"/>
      <c r="AS53" s="52" t="s">
        <v>506</v>
      </c>
      <c r="AT53" s="789"/>
      <c r="AU53" s="819"/>
      <c r="AV53" s="789"/>
      <c r="AW53" s="819"/>
      <c r="AX53" s="789"/>
      <c r="AY53" s="789"/>
      <c r="AZ53" s="789"/>
      <c r="BA53" s="789"/>
      <c r="BB53" s="793"/>
      <c r="BC53" s="1299"/>
      <c r="BE53" s="69"/>
      <c r="BF53" s="69"/>
      <c r="BG53" s="69"/>
      <c r="BH53" s="69"/>
      <c r="BI53" s="11">
        <v>11</v>
      </c>
    </row>
    <row r="54" spans="1:61" ht="11.45" customHeight="1">
      <c r="A54" s="769" t="s">
        <v>265</v>
      </c>
      <c r="B54" s="769"/>
      <c r="C54" s="769"/>
      <c r="D54" s="769"/>
      <c r="E54" s="1276"/>
      <c r="F54" s="1276"/>
      <c r="G54" s="1276"/>
      <c r="H54" s="1276"/>
      <c r="I54" s="1278"/>
      <c r="J54" s="1278"/>
      <c r="K54" s="1277"/>
      <c r="L54" s="770"/>
      <c r="P54" s="1279"/>
      <c r="Q54" s="1279"/>
      <c r="R54" s="209"/>
      <c r="S54" s="1333"/>
      <c r="T54" s="1353"/>
      <c r="U54" s="171"/>
      <c r="V54" s="789"/>
      <c r="W54" s="819"/>
      <c r="X54" s="789"/>
      <c r="Y54" s="819"/>
      <c r="Z54" s="789"/>
      <c r="AA54" s="789"/>
      <c r="AB54" s="789"/>
      <c r="AC54" s="789"/>
      <c r="AD54" s="1221"/>
      <c r="AE54" s="1328"/>
      <c r="AF54" s="1233"/>
      <c r="AG54" s="1351"/>
      <c r="AH54" s="1158"/>
      <c r="AI54" s="1328"/>
      <c r="AJ54" s="1233"/>
      <c r="AK54" s="1342"/>
      <c r="AL54" s="1158"/>
      <c r="AM54" s="184"/>
      <c r="AN54" s="823"/>
      <c r="AO54" s="823" t="s">
        <v>507</v>
      </c>
      <c r="AP54" s="52"/>
      <c r="AQ54" s="52"/>
      <c r="AR54" s="52"/>
      <c r="AS54" s="789"/>
      <c r="AT54" s="789"/>
      <c r="AU54" s="819"/>
      <c r="AV54" s="789"/>
      <c r="AW54" s="819"/>
      <c r="AX54" s="789"/>
      <c r="AY54" s="789"/>
      <c r="AZ54" s="789"/>
      <c r="BA54" s="789"/>
      <c r="BB54" s="793"/>
      <c r="BC54" s="1299"/>
      <c r="BE54" s="69"/>
      <c r="BF54" s="69"/>
      <c r="BG54" s="69"/>
      <c r="BH54" s="69"/>
      <c r="BI54" s="11">
        <v>11</v>
      </c>
    </row>
    <row r="55" spans="1:61" ht="11.45" customHeight="1">
      <c r="A55" s="769" t="s">
        <v>265</v>
      </c>
      <c r="B55" s="769"/>
      <c r="C55" s="769"/>
      <c r="D55" s="769"/>
      <c r="E55" s="1276"/>
      <c r="F55" s="1276"/>
      <c r="G55" s="1276"/>
      <c r="H55" s="1276"/>
      <c r="I55" s="1278"/>
      <c r="J55" s="1278"/>
      <c r="K55" s="1277"/>
      <c r="L55" s="770"/>
      <c r="P55" s="1279"/>
      <c r="Q55" s="1279"/>
      <c r="R55" s="209"/>
      <c r="S55" s="1333"/>
      <c r="T55" s="1353"/>
      <c r="U55" s="171"/>
      <c r="V55" s="789"/>
      <c r="W55" s="819"/>
      <c r="X55" s="789"/>
      <c r="Y55" s="819"/>
      <c r="Z55" s="789"/>
      <c r="AA55" s="789"/>
      <c r="AB55" s="789"/>
      <c r="AC55" s="789"/>
      <c r="AD55" s="1221"/>
      <c r="AE55" s="1328"/>
      <c r="AF55" s="1233"/>
      <c r="AG55" s="1351"/>
      <c r="AH55" s="1158"/>
      <c r="AI55" s="169"/>
      <c r="AJ55" s="110"/>
      <c r="AK55" s="182" t="s">
        <v>508</v>
      </c>
      <c r="AL55" s="789"/>
      <c r="AM55" s="789"/>
      <c r="AN55" s="789"/>
      <c r="AO55" s="789"/>
      <c r="AP55" s="789"/>
      <c r="AQ55" s="789"/>
      <c r="AR55" s="789"/>
      <c r="AS55" s="789"/>
      <c r="AT55" s="789"/>
      <c r="AU55" s="819"/>
      <c r="AV55" s="789"/>
      <c r="AW55" s="819"/>
      <c r="AX55" s="789"/>
      <c r="AY55" s="789"/>
      <c r="AZ55" s="789"/>
      <c r="BA55" s="789"/>
      <c r="BB55" s="793"/>
      <c r="BC55" s="1299"/>
      <c r="BE55" s="69"/>
      <c r="BF55" s="69"/>
      <c r="BG55" s="69"/>
      <c r="BH55" s="69"/>
      <c r="BI55" s="11">
        <v>11</v>
      </c>
    </row>
    <row r="56" spans="1:61" ht="11.45" customHeight="1">
      <c r="A56" s="769" t="s">
        <v>265</v>
      </c>
      <c r="B56" s="769" t="s">
        <v>266</v>
      </c>
      <c r="C56" s="769" t="s">
        <v>267</v>
      </c>
      <c r="D56" s="769" t="s">
        <v>548</v>
      </c>
      <c r="E56" s="1276"/>
      <c r="F56" s="1276"/>
      <c r="G56" s="1276"/>
      <c r="H56" s="1276"/>
      <c r="I56" s="1278"/>
      <c r="J56" s="1278"/>
      <c r="K56" s="1277"/>
      <c r="L56" s="770"/>
      <c r="P56" s="1279"/>
      <c r="Q56" s="1279"/>
      <c r="R56" s="209"/>
      <c r="S56" s="1334"/>
      <c r="T56" s="1354"/>
      <c r="U56" s="171"/>
      <c r="V56" s="789"/>
      <c r="W56" s="790" t="str">
        <f>Z52&amp;"-"&amp;AB52</f>
        <v>-</v>
      </c>
      <c r="X56" s="789"/>
      <c r="Y56" s="790" t="str">
        <f>AB52&amp;"-"&amp;AD52</f>
        <v>-да</v>
      </c>
      <c r="Z56" s="789"/>
      <c r="AA56" s="789"/>
      <c r="AB56" s="789"/>
      <c r="AC56" s="789"/>
      <c r="AD56" s="1163"/>
      <c r="AE56" s="181"/>
      <c r="AF56" s="183"/>
      <c r="AG56" s="52" t="s">
        <v>509</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299"/>
      <c r="BE56" s="69"/>
      <c r="BF56" s="69" t="str">
        <f t="shared" ref="BF56:BF63" si="4">IF(T56="","",T56)</f>
        <v/>
      </c>
      <c r="BG56" s="69"/>
      <c r="BH56" s="69"/>
      <c r="BI56" s="11">
        <v>11</v>
      </c>
    </row>
    <row r="57" spans="1:61" ht="11.45" customHeight="1">
      <c r="A57" s="769" t="s">
        <v>265</v>
      </c>
      <c r="B57" s="769" t="s">
        <v>266</v>
      </c>
      <c r="C57" s="769" t="s">
        <v>267</v>
      </c>
      <c r="D57" s="769" t="s">
        <v>548</v>
      </c>
      <c r="E57" s="1276"/>
      <c r="F57" s="1276"/>
      <c r="G57" s="1276"/>
      <c r="H57" s="1276"/>
      <c r="I57" s="1278"/>
      <c r="J57" s="1277"/>
      <c r="K57" s="769"/>
      <c r="L57" s="770"/>
      <c r="P57" s="1279"/>
      <c r="Q57" s="1279"/>
      <c r="R57" s="208"/>
      <c r="S57" s="742"/>
      <c r="T57" s="166" t="s">
        <v>472</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0"/>
      <c r="BE57" s="69"/>
      <c r="BF57" s="69" t="str">
        <f t="shared" si="4"/>
        <v>Добавить строку</v>
      </c>
      <c r="BG57" s="69"/>
      <c r="BH57" s="69"/>
      <c r="BI57" s="11">
        <v>11</v>
      </c>
    </row>
    <row r="58" spans="1:61" s="68" customFormat="1" ht="0" hidden="1" customHeight="1">
      <c r="A58" s="145" t="s">
        <v>265</v>
      </c>
      <c r="B58" s="145" t="s">
        <v>266</v>
      </c>
      <c r="C58" s="145" t="s">
        <v>267</v>
      </c>
      <c r="D58" s="145" t="s">
        <v>548</v>
      </c>
      <c r="E58" s="1276"/>
      <c r="F58" s="1276"/>
      <c r="G58" s="1276"/>
      <c r="H58" s="1276"/>
      <c r="I58" s="1277"/>
      <c r="J58" s="145"/>
      <c r="K58" s="145"/>
      <c r="L58" s="346"/>
      <c r="M58" s="290"/>
      <c r="N58" s="290"/>
      <c r="O58" s="290"/>
      <c r="P58" s="1279"/>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265</v>
      </c>
      <c r="B59" s="145" t="s">
        <v>266</v>
      </c>
      <c r="C59" s="145" t="s">
        <v>267</v>
      </c>
      <c r="D59" s="145" t="s">
        <v>548</v>
      </c>
      <c r="E59" s="1276"/>
      <c r="F59" s="1276"/>
      <c r="G59" s="1276"/>
      <c r="H59" s="1275"/>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265</v>
      </c>
      <c r="B60" s="145" t="s">
        <v>266</v>
      </c>
      <c r="C60" s="145" t="s">
        <v>267</v>
      </c>
      <c r="D60" s="145"/>
      <c r="E60" s="1276"/>
      <c r="F60" s="1276"/>
      <c r="G60" s="1275"/>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265</v>
      </c>
      <c r="B61" s="145" t="s">
        <v>266</v>
      </c>
      <c r="C61" s="145"/>
      <c r="D61" s="145"/>
      <c r="E61" s="1276"/>
      <c r="F61" s="1275"/>
      <c r="G61" s="145"/>
      <c r="H61" s="145"/>
      <c r="I61" s="145"/>
      <c r="J61" s="145"/>
      <c r="K61" s="145"/>
      <c r="L61" s="346"/>
      <c r="M61" s="759"/>
      <c r="N61" s="759"/>
      <c r="P61" s="104"/>
      <c r="Q61" s="755"/>
      <c r="R61" s="104"/>
      <c r="S61" s="760"/>
      <c r="T61" s="762" t="s">
        <v>419</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265</v>
      </c>
      <c r="B62" s="145"/>
      <c r="C62" s="145"/>
      <c r="D62" s="145"/>
      <c r="E62" s="1275"/>
      <c r="F62" s="145"/>
      <c r="G62" s="145"/>
      <c r="H62" s="145"/>
      <c r="I62" s="145"/>
      <c r="J62" s="145"/>
      <c r="K62" s="145"/>
      <c r="L62" s="346"/>
      <c r="M62" s="759"/>
      <c r="N62" s="759"/>
      <c r="P62" s="104"/>
      <c r="Q62" s="755"/>
      <c r="R62" s="104"/>
      <c r="S62" s="760"/>
      <c r="T62" s="762" t="s">
        <v>420</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452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3B2F4-CA55-B402-E6AB-F09AC1B7BB73}">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7109375"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40625" style="11" hidden="1"/>
  </cols>
  <sheetData>
    <row r="1" spans="1:32" ht="22.5" hidden="1" customHeight="1">
      <c r="AF1" s="11" t="s">
        <v>14</v>
      </c>
    </row>
    <row r="2" spans="1:32" ht="23.25" hidden="1" customHeight="1">
      <c r="B2" s="1132"/>
      <c r="C2" s="313" t="s">
        <v>549</v>
      </c>
      <c r="D2" s="55"/>
      <c r="E2" s="311">
        <f>B2</f>
        <v>0</v>
      </c>
      <c r="F2" s="312"/>
      <c r="G2" s="41" t="s">
        <v>550</v>
      </c>
      <c r="H2" s="41" t="s">
        <v>550</v>
      </c>
      <c r="I2" s="41" t="s">
        <v>550</v>
      </c>
      <c r="J2" s="67" t="s">
        <v>551</v>
      </c>
      <c r="K2" s="308"/>
      <c r="AF2" s="11">
        <v>0</v>
      </c>
    </row>
    <row r="3" spans="1:32" s="68" customFormat="1" ht="0.75" hidden="1" customHeight="1">
      <c r="B3" s="1132"/>
      <c r="C3" s="313"/>
      <c r="D3" s="313"/>
      <c r="E3" s="314"/>
      <c r="F3" s="315" t="s">
        <v>552</v>
      </c>
      <c r="G3" s="316"/>
      <c r="H3" s="316">
        <f>H4*H5+H7</f>
        <v>0</v>
      </c>
      <c r="I3" s="316">
        <f>I4*I5+I6</f>
        <v>0</v>
      </c>
      <c r="J3" s="317"/>
      <c r="AF3" s="68">
        <v>0</v>
      </c>
    </row>
    <row r="4" spans="1:32" ht="23.25" hidden="1" customHeight="1">
      <c r="B4" s="1132"/>
      <c r="C4" s="313"/>
      <c r="D4" s="55"/>
      <c r="E4" s="311" t="str">
        <f>B2&amp;".1"</f>
        <v>.1</v>
      </c>
      <c r="F4" s="318" t="s">
        <v>553</v>
      </c>
      <c r="G4" s="319"/>
      <c r="H4" s="306"/>
      <c r="I4" s="306"/>
      <c r="J4" s="67" t="s">
        <v>554</v>
      </c>
      <c r="K4" s="308"/>
      <c r="AF4" s="11">
        <v>0</v>
      </c>
    </row>
    <row r="5" spans="1:32" ht="18.75" hidden="1" customHeight="1">
      <c r="B5" s="1132"/>
      <c r="C5" s="313"/>
      <c r="D5" s="55"/>
      <c r="E5" s="311" t="str">
        <f>B2&amp;".2"</f>
        <v>.2</v>
      </c>
      <c r="F5" s="318" t="s">
        <v>555</v>
      </c>
      <c r="G5" s="41" t="s">
        <v>556</v>
      </c>
      <c r="H5" s="306"/>
      <c r="I5" s="306"/>
      <c r="J5" s="67"/>
      <c r="K5" s="308"/>
      <c r="AF5" s="11">
        <v>0</v>
      </c>
    </row>
    <row r="6" spans="1:32" ht="18.75" hidden="1" customHeight="1">
      <c r="B6" s="1132"/>
      <c r="C6" s="313"/>
      <c r="D6" s="55"/>
      <c r="E6" s="311" t="str">
        <f>B2&amp;".3"</f>
        <v>.3</v>
      </c>
      <c r="F6" s="318" t="s">
        <v>557</v>
      </c>
      <c r="G6" s="41" t="s">
        <v>556</v>
      </c>
      <c r="H6" s="306"/>
      <c r="I6" s="306"/>
      <c r="J6" s="67"/>
      <c r="K6" s="308"/>
      <c r="AF6" s="11">
        <v>0</v>
      </c>
    </row>
    <row r="7" spans="1:32" ht="18.75" hidden="1" customHeight="1">
      <c r="B7" s="1132"/>
      <c r="C7" s="313"/>
      <c r="D7" s="55"/>
      <c r="E7" s="311" t="str">
        <f>B2&amp;".4"</f>
        <v>.4</v>
      </c>
      <c r="F7" s="318" t="s">
        <v>558</v>
      </c>
      <c r="G7" s="41" t="s">
        <v>550</v>
      </c>
      <c r="H7" s="320"/>
      <c r="I7" s="320"/>
      <c r="J7" s="67"/>
      <c r="K7" s="308"/>
      <c r="AF7" s="11">
        <v>0</v>
      </c>
    </row>
    <row r="8" spans="1:32" s="63" customFormat="1" ht="11.25" hidden="1" customHeight="1">
      <c r="A8" s="572"/>
      <c r="C8" s="68"/>
      <c r="H8" s="63">
        <v>4</v>
      </c>
      <c r="I8" s="63">
        <v>4</v>
      </c>
      <c r="L8" s="68"/>
      <c r="M8" s="68"/>
      <c r="R8" s="68"/>
      <c r="AF8" s="63">
        <v>0</v>
      </c>
    </row>
    <row r="9" spans="1:32" s="63" customFormat="1" ht="22.5" hidden="1" customHeight="1">
      <c r="A9" s="572"/>
      <c r="C9" s="68"/>
      <c r="D9" s="304"/>
      <c r="E9" s="41"/>
      <c r="F9" s="305"/>
      <c r="G9" s="41" t="s">
        <v>556</v>
      </c>
      <c r="H9" s="306"/>
      <c r="I9" s="306"/>
      <c r="J9" s="307" t="s">
        <v>559</v>
      </c>
      <c r="K9" s="308"/>
      <c r="L9" s="68"/>
      <c r="M9" s="68"/>
      <c r="R9" s="68"/>
      <c r="U9" s="309"/>
      <c r="AA9" s="8"/>
      <c r="AB9" s="8"/>
      <c r="AC9" s="8"/>
      <c r="AD9" s="8"/>
      <c r="AE9" s="8"/>
      <c r="AF9" s="63">
        <v>0</v>
      </c>
    </row>
    <row r="10" spans="1:32" ht="11.25" hidden="1" customHeight="1">
      <c r="AF10" s="11">
        <v>0</v>
      </c>
    </row>
    <row r="11" spans="1:32" ht="18.75" hidden="1" customHeight="1">
      <c r="D11" s="55"/>
      <c r="E11" s="311"/>
      <c r="F11" s="305"/>
      <c r="G11" s="41" t="s">
        <v>560</v>
      </c>
      <c r="H11" s="306"/>
      <c r="I11" s="306"/>
      <c r="J11" s="67" t="s">
        <v>561</v>
      </c>
      <c r="K11" s="308"/>
      <c r="AF11" s="11">
        <v>0</v>
      </c>
    </row>
    <row r="12" spans="1:32" ht="11.25" hidden="1" customHeight="1">
      <c r="AF12" s="11">
        <v>0</v>
      </c>
    </row>
    <row r="13" spans="1:32" ht="22.5" hidden="1" customHeight="1">
      <c r="D13" s="55"/>
      <c r="E13" s="311"/>
      <c r="F13" s="305"/>
      <c r="G13" s="395" t="s">
        <v>562</v>
      </c>
      <c r="H13" s="310"/>
      <c r="I13" s="310"/>
      <c r="J13" s="433" t="s">
        <v>563</v>
      </c>
      <c r="K13" s="308"/>
      <c r="AF13" s="11">
        <v>0</v>
      </c>
    </row>
    <row r="14" spans="1:32" ht="11.25" hidden="1" customHeight="1">
      <c r="AF14" s="11">
        <v>0</v>
      </c>
    </row>
    <row r="15" spans="1:32" ht="22.5" hidden="1" customHeight="1">
      <c r="D15" s="55"/>
      <c r="E15" s="311"/>
      <c r="F15" s="305"/>
      <c r="G15" s="41" t="s">
        <v>564</v>
      </c>
      <c r="H15" s="310"/>
      <c r="I15" s="310"/>
      <c r="J15" s="67" t="s">
        <v>565</v>
      </c>
      <c r="K15" s="308"/>
      <c r="AF15" s="11">
        <v>0</v>
      </c>
    </row>
    <row r="16" spans="1:32" ht="11.25" hidden="1" customHeight="1">
      <c r="AF16" s="11">
        <v>0</v>
      </c>
    </row>
    <row r="17" spans="1:32" ht="22.5" hidden="1" customHeight="1">
      <c r="D17" s="55"/>
      <c r="E17" s="311"/>
      <c r="F17" s="305"/>
      <c r="G17" s="41" t="s">
        <v>566</v>
      </c>
      <c r="H17" s="310"/>
      <c r="I17" s="310"/>
      <c r="J17" s="67" t="s">
        <v>567</v>
      </c>
      <c r="K17" s="308"/>
      <c r="AF17" s="11">
        <v>0</v>
      </c>
    </row>
    <row r="18" spans="1:32" ht="11.25" hidden="1" customHeight="1">
      <c r="AF18" s="11">
        <v>0</v>
      </c>
    </row>
    <row r="19" spans="1:32" s="8" customFormat="1" ht="11.25" hidden="1" customHeight="1">
      <c r="A19" s="572"/>
      <c r="B19" s="63"/>
      <c r="C19" s="68"/>
      <c r="J19" s="8">
        <v>4</v>
      </c>
      <c r="K19" s="63"/>
      <c r="L19" s="68"/>
      <c r="M19" s="68"/>
      <c r="N19" s="63"/>
      <c r="O19" s="63"/>
      <c r="P19" s="63"/>
      <c r="Q19" s="63"/>
      <c r="R19" s="68"/>
      <c r="S19" s="63"/>
      <c r="T19" s="63"/>
      <c r="U19" s="309"/>
      <c r="V19" s="63"/>
      <c r="W19" s="63"/>
      <c r="X19" s="63"/>
      <c r="Y19" s="63"/>
      <c r="Z19" s="63"/>
      <c r="AF19" s="8">
        <v>0</v>
      </c>
    </row>
    <row r="20" spans="1:32" ht="11.45" customHeight="1">
      <c r="AF20" s="11">
        <v>11</v>
      </c>
    </row>
    <row r="21" spans="1:32" ht="25.15" customHeight="1">
      <c r="E21" s="125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256"/>
      <c r="G21" s="1256"/>
      <c r="H21" s="1256"/>
      <c r="I21" s="1256"/>
      <c r="J21" s="59"/>
      <c r="AF21" s="11">
        <v>24</v>
      </c>
    </row>
    <row r="22" spans="1:32" ht="25.15" customHeight="1">
      <c r="E22" s="1229" t="str">
        <f>IF(org=0,"Не определено",org)</f>
        <v>ООО "Инженерные сети"</v>
      </c>
      <c r="F22" s="1229"/>
      <c r="G22" s="1229"/>
      <c r="H22" s="1229"/>
      <c r="I22" s="1229"/>
      <c r="AF22" s="11">
        <v>24</v>
      </c>
    </row>
    <row r="23" spans="1:32" ht="11.45" customHeight="1">
      <c r="E23" s="668"/>
      <c r="F23" s="668"/>
      <c r="G23" s="668"/>
      <c r="H23" s="668"/>
      <c r="I23" s="668"/>
      <c r="AF23" s="11">
        <v>11</v>
      </c>
    </row>
    <row r="24" spans="1:32" s="68" customFormat="1" ht="1.1499999999999999" customHeight="1">
      <c r="A24" s="313"/>
      <c r="H24" s="514"/>
      <c r="I24" s="514" t="s">
        <v>122</v>
      </c>
      <c r="AF24" s="68">
        <v>1</v>
      </c>
    </row>
    <row r="25" spans="1:32" ht="11.45" customHeight="1">
      <c r="E25" s="409"/>
      <c r="F25" s="1362" t="s">
        <v>111</v>
      </c>
      <c r="G25" s="1363"/>
      <c r="H25" s="858" t="str">
        <f>IF(H24="","",INDEX(DIFFERENTIATION_UNMERGE_VD,MATCH(H24,DIFFERENTIATION_ID_DIFF,0)))</f>
        <v/>
      </c>
      <c r="I25" s="858" t="str">
        <f>IF(I24="","",INDEX(DIFFERENTIATION_UNMERGE_VD,MATCH(I24,DIFFERENTIATION_ID_DIFF,0)))</f>
        <v>Производство тепловой энергии. Некомбинированная выработка</v>
      </c>
      <c r="J25" s="1148"/>
      <c r="AF25" s="11">
        <v>11</v>
      </c>
    </row>
    <row r="26" spans="1:32" ht="11.45" customHeight="1">
      <c r="E26" s="409"/>
      <c r="F26" s="1362" t="s">
        <v>568</v>
      </c>
      <c r="G26" s="1363"/>
      <c r="H26" s="858" t="str">
        <f>IF(H24="","",INDEX(DIFFERENTIATION_UNMERGE_AREA,MATCH(H24,DIFFERENTIATION_ID_DIFF,0)))</f>
        <v/>
      </c>
      <c r="I26" s="858" t="str">
        <f>IF(I24="","",INDEX(DIFFERENTIATION_UNMERGE_AREA,MATCH(I24,DIFFERENTIATION_ID_DIFF,0)))</f>
        <v>Территория 1</v>
      </c>
      <c r="J26" s="1148"/>
      <c r="AF26" s="11">
        <v>11</v>
      </c>
    </row>
    <row r="27" spans="1:32" ht="11.45" customHeight="1">
      <c r="E27" s="409"/>
      <c r="F27" s="1362" t="s">
        <v>569</v>
      </c>
      <c r="G27" s="1363"/>
      <c r="H27" s="858" t="str">
        <f>IF(H24="","",INDEX(DIFFERENTIATION_UNMERGE_SYSTEM,MATCH(H24,DIFFERENTIATION_ID_DIFF,0)))</f>
        <v/>
      </c>
      <c r="I27" s="858" t="str">
        <f>IF(I24="","",INDEX(DIFFERENTIATION_UNMERGE_SYSTEM,MATCH(I24,DIFFERENTIATION_ID_DIFF,0)))</f>
        <v>без дифференциации</v>
      </c>
      <c r="J27" s="1148"/>
      <c r="AF27" s="11">
        <v>11</v>
      </c>
    </row>
    <row r="28" spans="1:32" ht="11.45" customHeight="1">
      <c r="E28" s="1364" t="s">
        <v>304</v>
      </c>
      <c r="F28" s="1365"/>
      <c r="G28" s="1365"/>
      <c r="H28" s="512"/>
      <c r="I28" s="512"/>
      <c r="J28" s="1148"/>
      <c r="AF28" s="11">
        <v>11</v>
      </c>
    </row>
    <row r="29" spans="1:32" ht="24" customHeight="1">
      <c r="E29" s="41" t="s">
        <v>88</v>
      </c>
      <c r="F29" s="41" t="s">
        <v>306</v>
      </c>
      <c r="G29" s="41" t="s">
        <v>570</v>
      </c>
      <c r="H29" s="41" t="s">
        <v>307</v>
      </c>
      <c r="I29" s="41" t="s">
        <v>307</v>
      </c>
      <c r="J29" s="1148"/>
      <c r="AF29" s="11">
        <v>23</v>
      </c>
    </row>
    <row r="30" spans="1:32" ht="19.899999999999999" customHeight="1">
      <c r="D30" s="55"/>
      <c r="E30" s="311">
        <f>FHD_NUM_P_1</f>
        <v>1</v>
      </c>
      <c r="F30" s="153" t="str">
        <f>FHD_P_1</f>
        <v>Выручка от регулируемого вида деятельности с распределением по видам деятельности</v>
      </c>
      <c r="G30" s="41" t="s">
        <v>556</v>
      </c>
      <c r="H30" s="321"/>
      <c r="I30" s="321"/>
      <c r="J30" s="67" t="str">
        <f>FHD_NOTE_P_1</f>
        <v>Указывается выручка от регулируемого вида деятельности с распределением по видам деятельности.</v>
      </c>
      <c r="K30" s="308"/>
      <c r="AF30" s="11">
        <v>19</v>
      </c>
    </row>
    <row r="31" spans="1:32" ht="11.45" customHeight="1">
      <c r="D31" s="55"/>
      <c r="E31" s="311">
        <f>FHD_NUM_P_2</f>
        <v>2</v>
      </c>
      <c r="F31" s="153" t="str">
        <f>FHD_P_2</f>
        <v>Себестоимость производимых товаров (оказываемых услуг) по регулируемому виду деятельности, включая:</v>
      </c>
      <c r="G31" s="41" t="s">
        <v>556</v>
      </c>
      <c r="H31" s="322">
        <f>SUMIF($K33:$K71,$K31,H33:H71)</f>
        <v>0</v>
      </c>
      <c r="I31" s="322">
        <f>SUMIF($K33:$K71,$K31,I33:I71)</f>
        <v>0</v>
      </c>
      <c r="J31" s="67" t="str">
        <f>FHD_NOTE_P_2</f>
        <v>Указывается суммарная себестоимость производимых товаров.</v>
      </c>
      <c r="K31" s="68" t="s">
        <v>571</v>
      </c>
      <c r="AF31" s="11">
        <v>11</v>
      </c>
    </row>
    <row r="32" spans="1:32" ht="11.45" customHeight="1">
      <c r="D32" s="55"/>
      <c r="E32" s="311" t="str">
        <f>FHD_NUM_P_3</f>
        <v>2.1</v>
      </c>
      <c r="F32" s="323" t="str">
        <f>FHD_P_3</f>
        <v>Расходы на приобретаемую тепловую энергию (мощность), теплоноситель</v>
      </c>
      <c r="G32" s="41" t="s">
        <v>556</v>
      </c>
      <c r="H32" s="321"/>
      <c r="I32" s="321"/>
      <c r="J32" s="67" t="str">
        <f>FHD_NOTE_P_3</f>
        <v/>
      </c>
      <c r="K32" s="68" t="str">
        <f t="shared" ref="K32:K70" si="0">IF((LEN(E32)-LEN(SUBSTITUTE(E32,".","")))/LEN(".")=1,"p","")</f>
        <v>p</v>
      </c>
      <c r="AF32" s="11">
        <v>11</v>
      </c>
    </row>
    <row r="33" spans="1:32" ht="11.25" customHeight="1">
      <c r="A33" s="1360" t="s">
        <v>572</v>
      </c>
      <c r="D33" s="55"/>
      <c r="E33" s="311" t="str">
        <f>FHD_NUM_P_4</f>
        <v>2.2</v>
      </c>
      <c r="F33" s="32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41" t="s">
        <v>556</v>
      </c>
      <c r="H33" s="322">
        <f>SUMIF($F34:$F40,$F3,H34:H40)</f>
        <v>0</v>
      </c>
      <c r="I33" s="322">
        <f>SUMIF($F34:$F40,$F3,I34:I40)</f>
        <v>0</v>
      </c>
      <c r="J33" s="67" t="str">
        <f>FHD_NOTE_P_4</f>
        <v>Указываются суммарные расходы на приобретение топлива всех видов.</v>
      </c>
      <c r="K33" s="68" t="str">
        <f t="shared" si="0"/>
        <v>p</v>
      </c>
      <c r="AF33" s="11">
        <v>0</v>
      </c>
    </row>
    <row r="34" spans="1:32" s="203" customFormat="1" ht="0.75" customHeight="1">
      <c r="A34" s="1360"/>
      <c r="B34" s="1361" t="str">
        <f>E33&amp;".0"</f>
        <v>2.2.0</v>
      </c>
      <c r="C34" s="313"/>
      <c r="D34" s="324"/>
      <c r="E34" s="325"/>
      <c r="F34" s="326"/>
      <c r="G34" s="327"/>
      <c r="H34" s="285"/>
      <c r="I34" s="285"/>
      <c r="J34" s="328"/>
      <c r="K34" s="68" t="str">
        <f t="shared" si="0"/>
        <v/>
      </c>
      <c r="L34" s="68"/>
      <c r="M34" s="68"/>
      <c r="N34" s="68"/>
      <c r="O34" s="68"/>
      <c r="P34" s="68"/>
      <c r="Q34" s="68"/>
      <c r="R34" s="68"/>
      <c r="S34" s="68"/>
      <c r="T34" s="68"/>
      <c r="U34" s="329"/>
      <c r="V34" s="68"/>
      <c r="W34" s="68"/>
      <c r="X34" s="68"/>
      <c r="Y34" s="68"/>
      <c r="Z34" s="68"/>
      <c r="AA34" s="142"/>
      <c r="AB34" s="142"/>
      <c r="AC34" s="142"/>
      <c r="AD34" s="142"/>
      <c r="AE34" s="142"/>
      <c r="AF34" s="203">
        <v>0</v>
      </c>
    </row>
    <row r="35" spans="1:32" s="203" customFormat="1" ht="0.75" customHeight="1">
      <c r="A35" s="1360"/>
      <c r="B35" s="1361"/>
      <c r="C35" s="313"/>
      <c r="D35" s="324"/>
      <c r="E35" s="330"/>
      <c r="F35" s="331"/>
      <c r="G35" s="327"/>
      <c r="H35" s="332"/>
      <c r="I35" s="332"/>
      <c r="J35" s="328"/>
      <c r="K35" s="68" t="str">
        <f t="shared" si="0"/>
        <v/>
      </c>
      <c r="L35" s="68"/>
      <c r="M35" s="68"/>
      <c r="N35" s="68"/>
      <c r="O35" s="68"/>
      <c r="P35" s="68"/>
      <c r="Q35" s="68"/>
      <c r="R35" s="68"/>
      <c r="S35" s="68"/>
      <c r="T35" s="68"/>
      <c r="U35" s="329"/>
      <c r="V35" s="68"/>
      <c r="W35" s="68"/>
      <c r="X35" s="68"/>
      <c r="Y35" s="68"/>
      <c r="Z35" s="68"/>
      <c r="AA35" s="142"/>
      <c r="AB35" s="142"/>
      <c r="AC35" s="142"/>
      <c r="AD35" s="142"/>
      <c r="AE35" s="142"/>
      <c r="AF35" s="203">
        <v>0</v>
      </c>
    </row>
    <row r="36" spans="1:32" s="203" customFormat="1" ht="0.75" customHeight="1">
      <c r="A36" s="1360"/>
      <c r="B36" s="1361"/>
      <c r="C36" s="313"/>
      <c r="D36" s="324"/>
      <c r="E36" s="330"/>
      <c r="F36" s="331"/>
      <c r="G36" s="327"/>
      <c r="H36" s="332"/>
      <c r="I36" s="332"/>
      <c r="J36" s="328"/>
      <c r="K36" s="68" t="str">
        <f t="shared" si="0"/>
        <v/>
      </c>
      <c r="L36" s="68"/>
      <c r="M36" s="68"/>
      <c r="N36" s="68"/>
      <c r="O36" s="68"/>
      <c r="P36" s="68"/>
      <c r="Q36" s="68"/>
      <c r="R36" s="68"/>
      <c r="S36" s="68"/>
      <c r="T36" s="68"/>
      <c r="U36" s="329"/>
      <c r="V36" s="68"/>
      <c r="W36" s="68"/>
      <c r="X36" s="68"/>
      <c r="Y36" s="68"/>
      <c r="Z36" s="68"/>
      <c r="AA36" s="142"/>
      <c r="AB36" s="142"/>
      <c r="AC36" s="142"/>
      <c r="AD36" s="142"/>
      <c r="AE36" s="142"/>
      <c r="AF36" s="203">
        <v>0</v>
      </c>
    </row>
    <row r="37" spans="1:32" s="203" customFormat="1" ht="0.75" customHeight="1">
      <c r="A37" s="1360"/>
      <c r="B37" s="1361"/>
      <c r="C37" s="313"/>
      <c r="D37" s="324"/>
      <c r="E37" s="330"/>
      <c r="F37" s="331"/>
      <c r="G37" s="327"/>
      <c r="H37" s="332"/>
      <c r="I37" s="332"/>
      <c r="J37" s="328"/>
      <c r="K37" s="68" t="str">
        <f t="shared" si="0"/>
        <v/>
      </c>
      <c r="L37" s="68"/>
      <c r="M37" s="68"/>
      <c r="N37" s="68"/>
      <c r="O37" s="68"/>
      <c r="P37" s="68"/>
      <c r="Q37" s="68"/>
      <c r="R37" s="68"/>
      <c r="S37" s="68"/>
      <c r="T37" s="68"/>
      <c r="U37" s="329"/>
      <c r="V37" s="68"/>
      <c r="W37" s="68"/>
      <c r="X37" s="68"/>
      <c r="Y37" s="68"/>
      <c r="Z37" s="68"/>
      <c r="AA37" s="142"/>
      <c r="AB37" s="142"/>
      <c r="AC37" s="142"/>
      <c r="AD37" s="142"/>
      <c r="AE37" s="142"/>
      <c r="AF37" s="203">
        <v>0</v>
      </c>
    </row>
    <row r="38" spans="1:32" s="203" customFormat="1" ht="0.75" customHeight="1">
      <c r="A38" s="1360"/>
      <c r="B38" s="1361"/>
      <c r="C38" s="313"/>
      <c r="D38" s="324"/>
      <c r="E38" s="330"/>
      <c r="F38" s="331"/>
      <c r="G38" s="327"/>
      <c r="H38" s="332"/>
      <c r="I38" s="332"/>
      <c r="J38" s="328"/>
      <c r="K38" s="68" t="str">
        <f t="shared" si="0"/>
        <v/>
      </c>
      <c r="L38" s="68"/>
      <c r="M38" s="68"/>
      <c r="N38" s="68"/>
      <c r="O38" s="68"/>
      <c r="P38" s="68"/>
      <c r="Q38" s="68"/>
      <c r="R38" s="68"/>
      <c r="S38" s="68"/>
      <c r="T38" s="68"/>
      <c r="U38" s="329"/>
      <c r="V38" s="68"/>
      <c r="W38" s="68"/>
      <c r="X38" s="68"/>
      <c r="Y38" s="68"/>
      <c r="Z38" s="68"/>
      <c r="AA38" s="142"/>
      <c r="AB38" s="142"/>
      <c r="AC38" s="142"/>
      <c r="AD38" s="142"/>
      <c r="AE38" s="142"/>
      <c r="AF38" s="203">
        <v>0</v>
      </c>
    </row>
    <row r="39" spans="1:32" s="203" customFormat="1" ht="0.75" customHeight="1">
      <c r="A39" s="1360"/>
      <c r="B39" s="1361"/>
      <c r="C39" s="313"/>
      <c r="D39" s="324"/>
      <c r="E39" s="330"/>
      <c r="F39" s="331"/>
      <c r="G39" s="327"/>
      <c r="H39" s="285"/>
      <c r="I39" s="285"/>
      <c r="J39" s="328"/>
      <c r="K39" s="68" t="str">
        <f t="shared" si="0"/>
        <v/>
      </c>
      <c r="L39" s="68"/>
      <c r="M39" s="68"/>
      <c r="N39" s="68"/>
      <c r="O39" s="68"/>
      <c r="P39" s="68"/>
      <c r="Q39" s="68"/>
      <c r="R39" s="68"/>
      <c r="S39" s="68"/>
      <c r="T39" s="68"/>
      <c r="U39" s="329"/>
      <c r="V39" s="68"/>
      <c r="W39" s="68"/>
      <c r="X39" s="68"/>
      <c r="Y39" s="68"/>
      <c r="Z39" s="68"/>
      <c r="AA39" s="142"/>
      <c r="AB39" s="142"/>
      <c r="AC39" s="142"/>
      <c r="AD39" s="142"/>
      <c r="AE39" s="142"/>
      <c r="AF39" s="203">
        <v>0</v>
      </c>
    </row>
    <row r="40" spans="1:32" s="63" customFormat="1" ht="15" customHeight="1">
      <c r="A40" s="1360"/>
      <c r="C40" s="68"/>
      <c r="D40" s="77"/>
      <c r="E40" s="333"/>
      <c r="F40" s="111" t="s">
        <v>573</v>
      </c>
      <c r="G40" s="334"/>
      <c r="H40" s="335"/>
      <c r="I40" s="335"/>
      <c r="J40" s="172"/>
      <c r="K40" s="68" t="str">
        <f t="shared" si="0"/>
        <v/>
      </c>
      <c r="L40" s="68"/>
      <c r="M40" s="68"/>
      <c r="R40" s="68"/>
      <c r="U40" s="309"/>
      <c r="AA40" s="8"/>
      <c r="AB40" s="8"/>
      <c r="AC40" s="8"/>
      <c r="AD40" s="8"/>
      <c r="AE40" s="8"/>
      <c r="AF40" s="63">
        <v>0</v>
      </c>
    </row>
    <row r="41" spans="1:32" ht="11.25" hidden="1" customHeight="1">
      <c r="A41" s="1360" t="s">
        <v>574</v>
      </c>
      <c r="D41" s="55"/>
      <c r="E41" s="311" t="str">
        <f>FHD_NUM_P_5</f>
        <v/>
      </c>
      <c r="F41" s="323" t="str">
        <f>FHD_P_5</f>
        <v/>
      </c>
      <c r="G41" s="41" t="s">
        <v>556</v>
      </c>
      <c r="H41" s="321"/>
      <c r="I41" s="321"/>
      <c r="J41" s="67" t="str">
        <f>FHD_NOTE_P_5</f>
        <v/>
      </c>
      <c r="K41" s="68" t="str">
        <f t="shared" si="0"/>
        <v/>
      </c>
      <c r="AF41" s="11">
        <v>0</v>
      </c>
    </row>
    <row r="42" spans="1:32" ht="11.25" hidden="1" customHeight="1">
      <c r="A42" s="1360"/>
      <c r="D42" s="55"/>
      <c r="E42" s="311" t="str">
        <f>FHD_NUM_P_6</f>
        <v/>
      </c>
      <c r="F42" s="323" t="str">
        <f>FHD_P_6</f>
        <v/>
      </c>
      <c r="G42" s="41" t="s">
        <v>556</v>
      </c>
      <c r="H42" s="321"/>
      <c r="I42" s="321"/>
      <c r="J42" s="67" t="str">
        <f>FHD_NOTE_P_6</f>
        <v/>
      </c>
      <c r="K42" s="68" t="str">
        <f t="shared" si="0"/>
        <v/>
      </c>
      <c r="AF42" s="11">
        <v>0</v>
      </c>
    </row>
    <row r="43" spans="1:32" ht="11.25" hidden="1" customHeight="1">
      <c r="A43" s="1360"/>
      <c r="D43" s="55"/>
      <c r="E43" s="311" t="str">
        <f>FHD_NUM_P_7</f>
        <v/>
      </c>
      <c r="F43" s="323" t="str">
        <f>FHD_P_7</f>
        <v/>
      </c>
      <c r="G43" s="41" t="s">
        <v>556</v>
      </c>
      <c r="H43" s="321"/>
      <c r="I43" s="321"/>
      <c r="J43" s="67" t="str">
        <f>FHD_NOTE_P_7</f>
        <v/>
      </c>
      <c r="K43" s="68" t="str">
        <f t="shared" si="0"/>
        <v/>
      </c>
      <c r="AF43" s="11">
        <v>0</v>
      </c>
    </row>
    <row r="44" spans="1:32" ht="11.45" customHeight="1">
      <c r="D44" s="55"/>
      <c r="E44" s="311" t="str">
        <f>FHD_NUM_P_8</f>
        <v>2.3</v>
      </c>
      <c r="F44" s="323" t="str">
        <f>FHD_P_8</f>
        <v>Расходы на приобретаемую электрическую энергию (мощность), используемую в технологическом процессе</v>
      </c>
      <c r="G44" s="41" t="s">
        <v>556</v>
      </c>
      <c r="H44" s="321"/>
      <c r="I44" s="321"/>
      <c r="J44" s="67" t="str">
        <f>FHD_NOTE_P_8</f>
        <v/>
      </c>
      <c r="K44" s="68" t="str">
        <f t="shared" si="0"/>
        <v>p</v>
      </c>
      <c r="AF44" s="11">
        <v>11</v>
      </c>
    </row>
    <row r="45" spans="1:32" ht="11.45" customHeight="1">
      <c r="D45" s="55"/>
      <c r="E45" s="311" t="str">
        <f>FHD_NUM_P_9</f>
        <v>2.3.1</v>
      </c>
      <c r="F45" s="338" t="str">
        <f>FHD_P_9</f>
        <v>Средневзвешенная стоимость 1 кВт.ч (с учетом мощности)</v>
      </c>
      <c r="G45" s="41" t="s">
        <v>575</v>
      </c>
      <c r="H45" s="321"/>
      <c r="I45" s="321"/>
      <c r="J45" s="67" t="str">
        <f>FHD_NOTE_P_9</f>
        <v/>
      </c>
      <c r="K45" s="68" t="str">
        <f t="shared" si="0"/>
        <v/>
      </c>
      <c r="AF45" s="11">
        <v>11</v>
      </c>
    </row>
    <row r="46" spans="1:32" s="63" customFormat="1" ht="11.45" customHeight="1">
      <c r="A46" s="572"/>
      <c r="C46" s="68"/>
      <c r="D46" s="336"/>
      <c r="E46" s="311" t="str">
        <f>FHD_NUM_P_10</f>
        <v>2.3.2</v>
      </c>
      <c r="F46" s="338" t="str">
        <f>FHD_P_10</f>
        <v>Объём приобретения электрической энергии</v>
      </c>
      <c r="G46" s="41" t="s">
        <v>576</v>
      </c>
      <c r="H46" s="321"/>
      <c r="I46" s="321"/>
      <c r="J46" s="67" t="str">
        <f>FHD_NOTE_P_10</f>
        <v/>
      </c>
      <c r="K46" s="68" t="str">
        <f t="shared" si="0"/>
        <v/>
      </c>
      <c r="L46" s="68"/>
      <c r="M46" s="68"/>
      <c r="R46" s="68"/>
      <c r="U46" s="309"/>
      <c r="AA46" s="8"/>
      <c r="AB46" s="8"/>
      <c r="AC46" s="8"/>
      <c r="AD46" s="8"/>
      <c r="AE46" s="8"/>
      <c r="AF46" s="63">
        <v>11</v>
      </c>
    </row>
    <row r="47" spans="1:32" s="63" customFormat="1" ht="11.25" customHeight="1">
      <c r="A47" s="574" t="s">
        <v>577</v>
      </c>
      <c r="C47" s="68"/>
      <c r="D47" s="337"/>
      <c r="E47" s="311" t="str">
        <f>FHD_NUM_P_11</f>
        <v>2.4</v>
      </c>
      <c r="F47" s="323" t="str">
        <f>FHD_P_11</f>
        <v>Расходы на приобретение холодной воды, используемой в технологическом процессе</v>
      </c>
      <c r="G47" s="41" t="s">
        <v>556</v>
      </c>
      <c r="H47" s="321"/>
      <c r="I47" s="321"/>
      <c r="J47" s="67" t="str">
        <f>FHD_NOTE_P_11</f>
        <v/>
      </c>
      <c r="K47" s="68" t="str">
        <f t="shared" si="0"/>
        <v>p</v>
      </c>
      <c r="L47" s="68"/>
      <c r="M47" s="68"/>
      <c r="R47" s="68"/>
      <c r="U47" s="309"/>
      <c r="AA47" s="8"/>
      <c r="AB47" s="8"/>
      <c r="AC47" s="8"/>
      <c r="AD47" s="8"/>
      <c r="AE47" s="8"/>
      <c r="AF47" s="63">
        <v>0</v>
      </c>
    </row>
    <row r="48" spans="1:32" s="63" customFormat="1" ht="18.75" customHeight="1">
      <c r="A48" s="574" t="s">
        <v>578</v>
      </c>
      <c r="C48" s="68"/>
      <c r="D48" s="55"/>
      <c r="E48" s="311" t="str">
        <f>FHD_NUM_P_12</f>
        <v>2.5</v>
      </c>
      <c r="F48" s="323" t="str">
        <f>FHD_P_12</f>
        <v>Расходы на  химические реагенты, используемые в технологическом процессе</v>
      </c>
      <c r="G48" s="41" t="s">
        <v>556</v>
      </c>
      <c r="H48" s="339"/>
      <c r="I48" s="339"/>
      <c r="J48" s="67" t="str">
        <f>FHD_NOTE_P_12</f>
        <v/>
      </c>
      <c r="K48" s="68" t="str">
        <f t="shared" si="0"/>
        <v>p</v>
      </c>
      <c r="L48" s="68"/>
      <c r="M48" s="68"/>
      <c r="R48" s="68"/>
      <c r="U48" s="309"/>
      <c r="AA48" s="8"/>
      <c r="AB48" s="8"/>
      <c r="AC48" s="8"/>
      <c r="AD48" s="8"/>
      <c r="AE48" s="8"/>
      <c r="AF48" s="63">
        <v>18</v>
      </c>
    </row>
    <row r="49" spans="1:32" s="426" customFormat="1" ht="11.45" customHeight="1">
      <c r="A49" s="573"/>
      <c r="C49" s="293"/>
      <c r="D49" s="383"/>
      <c r="E49" s="311" t="str">
        <f>FHD_NUM_P_13</f>
        <v>2.6</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556</v>
      </c>
      <c r="H49" s="321"/>
      <c r="I49" s="321"/>
      <c r="J49" s="67" t="str">
        <f>FHD_NOTE_P_13</f>
        <v/>
      </c>
      <c r="K49" s="68" t="str">
        <f t="shared" si="0"/>
        <v>p</v>
      </c>
      <c r="L49" s="293"/>
      <c r="M49" s="293"/>
      <c r="R49" s="293"/>
      <c r="U49" s="427"/>
      <c r="AA49" s="30"/>
      <c r="AB49" s="30"/>
      <c r="AC49" s="30"/>
      <c r="AD49" s="30"/>
      <c r="AE49" s="30"/>
      <c r="AF49" s="426">
        <v>11</v>
      </c>
    </row>
    <row r="50" spans="1:32" s="426" customFormat="1" ht="11.45" customHeight="1">
      <c r="A50" s="573"/>
      <c r="C50" s="293"/>
      <c r="D50" s="383"/>
      <c r="E50" s="311" t="str">
        <f>FHD_NUM_P_14</f>
        <v>2.6.1</v>
      </c>
      <c r="F50" s="338" t="str">
        <f>FHD_P_14</f>
        <v>Расходы на оплату труда основного производственного персонала</v>
      </c>
      <c r="G50" s="41" t="s">
        <v>556</v>
      </c>
      <c r="H50" s="321"/>
      <c r="I50" s="321"/>
      <c r="J50" s="67" t="str">
        <f>FHD_NOTE_P_14</f>
        <v/>
      </c>
      <c r="K50" s="68" t="str">
        <f t="shared" si="0"/>
        <v/>
      </c>
      <c r="L50" s="293"/>
      <c r="M50" s="293"/>
      <c r="R50" s="293"/>
      <c r="U50" s="427"/>
      <c r="AA50" s="30"/>
      <c r="AB50" s="30"/>
      <c r="AC50" s="30"/>
      <c r="AD50" s="30"/>
      <c r="AE50" s="30"/>
      <c r="AF50" s="426">
        <v>11</v>
      </c>
    </row>
    <row r="51" spans="1:32" s="426" customFormat="1" ht="11.45" customHeight="1">
      <c r="A51" s="573"/>
      <c r="C51" s="293"/>
      <c r="D51" s="383"/>
      <c r="E51" s="311" t="str">
        <f>FHD_NUM_P_15</f>
        <v>2.6.2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556</v>
      </c>
      <c r="H51" s="321"/>
      <c r="I51" s="321"/>
      <c r="J51" s="67" t="str">
        <f>FHD_NOTE_P_15</f>
        <v/>
      </c>
      <c r="K51" s="68" t="str">
        <f t="shared" si="0"/>
        <v/>
      </c>
      <c r="L51" s="293"/>
      <c r="M51" s="293"/>
      <c r="R51" s="293"/>
      <c r="U51" s="427"/>
      <c r="AA51" s="30"/>
      <c r="AB51" s="30"/>
      <c r="AC51" s="30"/>
      <c r="AD51" s="30"/>
      <c r="AE51" s="30"/>
      <c r="AF51" s="426">
        <v>11</v>
      </c>
    </row>
    <row r="52" spans="1:32" s="63" customFormat="1" ht="11.45" customHeight="1">
      <c r="A52" s="572"/>
      <c r="C52" s="68"/>
      <c r="D52" s="55"/>
      <c r="E52" s="311" t="str">
        <f>FHD_NUM_P_16</f>
        <v>2.7</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556</v>
      </c>
      <c r="H52" s="321"/>
      <c r="I52" s="321"/>
      <c r="J52" s="67" t="str">
        <f>FHD_NOTE_P_16</f>
        <v/>
      </c>
      <c r="K52" s="68" t="str">
        <f t="shared" si="0"/>
        <v>p</v>
      </c>
      <c r="L52" s="68"/>
      <c r="M52" s="68"/>
      <c r="R52" s="68"/>
      <c r="U52" s="309"/>
      <c r="AA52" s="8"/>
      <c r="AB52" s="8"/>
      <c r="AC52" s="8"/>
      <c r="AD52" s="8"/>
      <c r="AE52" s="8"/>
      <c r="AF52" s="63">
        <v>11</v>
      </c>
    </row>
    <row r="53" spans="1:32" s="63" customFormat="1" ht="11.45" customHeight="1">
      <c r="A53" s="572"/>
      <c r="C53" s="68"/>
      <c r="D53" s="55"/>
      <c r="E53" s="311" t="str">
        <f>FHD_NUM_P_17</f>
        <v>2.7.1</v>
      </c>
      <c r="F53" s="338" t="str">
        <f>FHD_P_17</f>
        <v>Расходы на оплату труда административно-управленческого персонала</v>
      </c>
      <c r="G53" s="41" t="s">
        <v>556</v>
      </c>
      <c r="H53" s="321"/>
      <c r="I53" s="321"/>
      <c r="J53" s="67" t="str">
        <f>FHD_NOTE_P_17</f>
        <v/>
      </c>
      <c r="K53" s="68" t="str">
        <f t="shared" si="0"/>
        <v/>
      </c>
      <c r="L53" s="68"/>
      <c r="M53" s="68"/>
      <c r="R53" s="68"/>
      <c r="U53" s="309"/>
      <c r="AA53" s="8"/>
      <c r="AB53" s="8"/>
      <c r="AC53" s="8"/>
      <c r="AD53" s="8"/>
      <c r="AE53" s="8"/>
      <c r="AF53" s="63">
        <v>11</v>
      </c>
    </row>
    <row r="54" spans="1:32" s="63" customFormat="1" ht="11.45" customHeight="1">
      <c r="A54" s="572"/>
      <c r="C54" s="68"/>
      <c r="D54" s="55"/>
      <c r="E54" s="311" t="str">
        <f>FHD_NUM_P_18</f>
        <v>2.7.2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556</v>
      </c>
      <c r="H54" s="321"/>
      <c r="I54" s="321"/>
      <c r="J54" s="67" t="str">
        <f>FHD_NOTE_P_18</f>
        <v/>
      </c>
      <c r="K54" s="68" t="str">
        <f t="shared" si="0"/>
        <v/>
      </c>
      <c r="L54" s="68"/>
      <c r="M54" s="68"/>
      <c r="R54" s="68"/>
      <c r="U54" s="309"/>
      <c r="AA54" s="8"/>
      <c r="AB54" s="8"/>
      <c r="AC54" s="8"/>
      <c r="AD54" s="8"/>
      <c r="AE54" s="8"/>
      <c r="AF54" s="63">
        <v>11</v>
      </c>
    </row>
    <row r="55" spans="1:32" s="63" customFormat="1" ht="11.45" customHeight="1">
      <c r="A55" s="572"/>
      <c r="C55" s="68"/>
      <c r="D55" s="337"/>
      <c r="E55" s="311" t="str">
        <f>FHD_NUM_P_19</f>
        <v>2.8</v>
      </c>
      <c r="F55" s="323" t="str">
        <f>FHD_P_19</f>
        <v>Расходы на амортизацию основных средств и нематериальных активов</v>
      </c>
      <c r="G55" s="41" t="s">
        <v>556</v>
      </c>
      <c r="H55" s="321"/>
      <c r="I55" s="321"/>
      <c r="J55" s="67" t="str">
        <f>FHD_NOTE_P_19</f>
        <v/>
      </c>
      <c r="K55" s="68" t="str">
        <f t="shared" si="0"/>
        <v>p</v>
      </c>
      <c r="L55" s="68"/>
      <c r="M55" s="68"/>
      <c r="R55" s="68"/>
      <c r="U55" s="309"/>
      <c r="AA55" s="8"/>
      <c r="AB55" s="8"/>
      <c r="AC55" s="8"/>
      <c r="AD55" s="8"/>
      <c r="AE55" s="8"/>
      <c r="AF55" s="63">
        <v>11</v>
      </c>
    </row>
    <row r="56" spans="1:32" s="63" customFormat="1" ht="11.45" customHeight="1">
      <c r="A56" s="572"/>
      <c r="C56" s="68"/>
      <c r="D56" s="337"/>
      <c r="E56" s="311" t="str">
        <f>FHD_NUM_P_20</f>
        <v>2.8.1</v>
      </c>
      <c r="F56" s="338" t="str">
        <f>FHD_P_20</f>
        <v>Расходы на амортизацию основных средств</v>
      </c>
      <c r="G56" s="41" t="s">
        <v>556</v>
      </c>
      <c r="H56" s="321"/>
      <c r="I56" s="321"/>
      <c r="J56" s="67" t="str">
        <f>FHD_NOTE_P_20</f>
        <v/>
      </c>
      <c r="K56" s="68" t="str">
        <f t="shared" si="0"/>
        <v/>
      </c>
      <c r="L56" s="68"/>
      <c r="M56" s="68"/>
      <c r="R56" s="68"/>
      <c r="U56" s="309"/>
      <c r="AA56" s="8"/>
      <c r="AB56" s="8"/>
      <c r="AC56" s="8"/>
      <c r="AD56" s="8"/>
      <c r="AE56" s="8"/>
      <c r="AF56" s="63">
        <v>11</v>
      </c>
    </row>
    <row r="57" spans="1:32" s="63" customFormat="1" ht="11.45" customHeight="1">
      <c r="A57" s="572"/>
      <c r="C57" s="68"/>
      <c r="D57" s="337"/>
      <c r="E57" s="311" t="str">
        <f>FHD_NUM_P_21</f>
        <v>2.8.2</v>
      </c>
      <c r="F57" s="338" t="str">
        <f>FHD_P_21</f>
        <v>Расходы на амортизацию нематериальных активов</v>
      </c>
      <c r="G57" s="41" t="s">
        <v>556</v>
      </c>
      <c r="H57" s="321"/>
      <c r="I57" s="321"/>
      <c r="J57" s="67" t="str">
        <f>FHD_NOTE_P_21</f>
        <v/>
      </c>
      <c r="K57" s="68" t="str">
        <f t="shared" si="0"/>
        <v/>
      </c>
      <c r="L57" s="68"/>
      <c r="M57" s="68"/>
      <c r="R57" s="68"/>
      <c r="U57" s="309"/>
      <c r="AA57" s="8"/>
      <c r="AB57" s="8"/>
      <c r="AC57" s="8"/>
      <c r="AD57" s="8"/>
      <c r="AE57" s="8"/>
      <c r="AF57" s="63">
        <v>11</v>
      </c>
    </row>
    <row r="58" spans="1:32" s="63" customFormat="1" ht="11.45" customHeight="1">
      <c r="A58" s="572"/>
      <c r="C58" s="68"/>
      <c r="D58" s="55"/>
      <c r="E58" s="311" t="str">
        <f>FHD_NUM_P_22</f>
        <v>2.9</v>
      </c>
      <c r="F58" s="323" t="str">
        <f>FHD_P_22</f>
        <v>Расходы на аренду имущества, используемого для осуществления регулируемого вида деятельности</v>
      </c>
      <c r="G58" s="41" t="s">
        <v>556</v>
      </c>
      <c r="H58" s="321"/>
      <c r="I58" s="321"/>
      <c r="J58" s="67" t="str">
        <f>FHD_NOTE_P_22</f>
        <v/>
      </c>
      <c r="K58" s="68" t="str">
        <f t="shared" si="0"/>
        <v>p</v>
      </c>
      <c r="L58" s="68"/>
      <c r="M58" s="68"/>
      <c r="R58" s="68"/>
      <c r="U58" s="309"/>
      <c r="AA58" s="8"/>
      <c r="AB58" s="8"/>
      <c r="AC58" s="8"/>
      <c r="AD58" s="8"/>
      <c r="AE58" s="8"/>
      <c r="AF58" s="63">
        <v>11</v>
      </c>
    </row>
    <row r="59" spans="1:32" s="63" customFormat="1" ht="11.45" customHeight="1">
      <c r="A59" s="572"/>
      <c r="C59" s="68"/>
      <c r="D59" s="337"/>
      <c r="E59" s="311" t="str">
        <f>FHD_NUM_P_23</f>
        <v>2.10</v>
      </c>
      <c r="F59" s="323" t="str">
        <f>FHD_P_23</f>
        <v>Общепроизводственные расходы, в том числе:</v>
      </c>
      <c r="G59" s="41" t="s">
        <v>556</v>
      </c>
      <c r="H59" s="321"/>
      <c r="I59" s="321"/>
      <c r="J59" s="67" t="str">
        <f>FHD_NOTE_P_23</f>
        <v>Указывается общая сумма общепроизводственных расходов.</v>
      </c>
      <c r="K59" s="68" t="str">
        <f t="shared" si="0"/>
        <v>p</v>
      </c>
      <c r="L59" s="68"/>
      <c r="M59" s="68"/>
      <c r="R59" s="68"/>
      <c r="U59" s="309"/>
      <c r="AA59" s="8"/>
      <c r="AB59" s="8"/>
      <c r="AC59" s="8"/>
      <c r="AD59" s="8"/>
      <c r="AE59" s="8"/>
      <c r="AF59" s="63">
        <v>11</v>
      </c>
    </row>
    <row r="60" spans="1:32" s="63" customFormat="1" ht="11.45" customHeight="1">
      <c r="A60" s="572"/>
      <c r="C60" s="68"/>
      <c r="D60" s="337"/>
      <c r="E60" s="311" t="str">
        <f>FHD_NUM_P_24</f>
        <v>2.10.1</v>
      </c>
      <c r="F60" s="338" t="str">
        <f>FHD_P_24</f>
        <v>Расходы на текущий ремонт</v>
      </c>
      <c r="G60" s="41" t="s">
        <v>556</v>
      </c>
      <c r="H60" s="321"/>
      <c r="I60" s="321"/>
      <c r="J60" s="67" t="str">
        <f>FHD_NOTE_P_24</f>
        <v>Указываются расходы на текущий ремонт, отнесенные к общепроизводственным расходам.</v>
      </c>
      <c r="K60" s="68" t="str">
        <f t="shared" si="0"/>
        <v/>
      </c>
      <c r="L60" s="68"/>
      <c r="M60" s="68"/>
      <c r="R60" s="68"/>
      <c r="U60" s="309"/>
      <c r="AA60" s="8"/>
      <c r="AB60" s="8"/>
      <c r="AC60" s="8"/>
      <c r="AD60" s="8"/>
      <c r="AE60" s="8"/>
      <c r="AF60" s="63">
        <v>11</v>
      </c>
    </row>
    <row r="61" spans="1:32" s="63" customFormat="1" ht="11.45" customHeight="1">
      <c r="A61" s="572"/>
      <c r="C61" s="68"/>
      <c r="D61" s="337"/>
      <c r="E61" s="311" t="str">
        <f>FHD_NUM_P_25</f>
        <v>2.10.2</v>
      </c>
      <c r="F61" s="338" t="str">
        <f>FHD_P_25</f>
        <v>Расходы на капитальный ремонт</v>
      </c>
      <c r="G61" s="41" t="s">
        <v>556</v>
      </c>
      <c r="H61" s="321"/>
      <c r="I61" s="321"/>
      <c r="J61" s="67" t="str">
        <f>FHD_NOTE_P_25</f>
        <v>Указываются расходы на капитальный ремонт, отнесенные к общепроизводственным расходам.</v>
      </c>
      <c r="K61" s="68" t="str">
        <f t="shared" si="0"/>
        <v/>
      </c>
      <c r="L61" s="68"/>
      <c r="M61" s="68"/>
      <c r="R61" s="68"/>
      <c r="U61" s="309"/>
      <c r="AA61" s="8"/>
      <c r="AB61" s="8"/>
      <c r="AC61" s="8"/>
      <c r="AD61" s="8"/>
      <c r="AE61" s="8"/>
      <c r="AF61" s="63">
        <v>11</v>
      </c>
    </row>
    <row r="62" spans="1:32" s="63" customFormat="1" ht="11.45" customHeight="1">
      <c r="A62" s="572"/>
      <c r="C62" s="68"/>
      <c r="D62" s="55"/>
      <c r="E62" s="311" t="str">
        <f>FHD_NUM_P_26</f>
        <v>2.11</v>
      </c>
      <c r="F62" s="323" t="str">
        <f>FHD_P_26</f>
        <v>Общехозяйственные расходы, в том числе:</v>
      </c>
      <c r="G62" s="41" t="s">
        <v>556</v>
      </c>
      <c r="H62" s="321"/>
      <c r="I62" s="321"/>
      <c r="J62" s="67" t="str">
        <f>FHD_NOTE_P_26</f>
        <v>Указывается общая сумма общехозяйственных расходов.</v>
      </c>
      <c r="K62" s="68" t="str">
        <f t="shared" si="0"/>
        <v>p</v>
      </c>
      <c r="L62" s="68"/>
      <c r="M62" s="68"/>
      <c r="R62" s="68"/>
      <c r="U62" s="309"/>
      <c r="AA62" s="8"/>
      <c r="AB62" s="8"/>
      <c r="AC62" s="8"/>
      <c r="AD62" s="8"/>
      <c r="AE62" s="8"/>
      <c r="AF62" s="63">
        <v>11</v>
      </c>
    </row>
    <row r="63" spans="1:32" s="63" customFormat="1" ht="11.45" customHeight="1">
      <c r="A63" s="572"/>
      <c r="C63" s="68"/>
      <c r="D63" s="55"/>
      <c r="E63" s="311" t="str">
        <f>FHD_NUM_P_27</f>
        <v>2.11.1</v>
      </c>
      <c r="F63" s="338" t="str">
        <f>FHD_P_27</f>
        <v>Расходы на текущий ремонт</v>
      </c>
      <c r="G63" s="41" t="s">
        <v>556</v>
      </c>
      <c r="H63" s="321"/>
      <c r="I63" s="321"/>
      <c r="J63" s="67" t="str">
        <f>FHD_NOTE_P_27</f>
        <v>Указываются расходы на текущий ремонт, отнесенные к общехозяйственным расходам.</v>
      </c>
      <c r="K63" s="68" t="str">
        <f t="shared" si="0"/>
        <v/>
      </c>
      <c r="L63" s="68"/>
      <c r="M63" s="68"/>
      <c r="R63" s="68"/>
      <c r="U63" s="309"/>
      <c r="AA63" s="8"/>
      <c r="AB63" s="8"/>
      <c r="AC63" s="8"/>
      <c r="AD63" s="8"/>
      <c r="AE63" s="8"/>
      <c r="AF63" s="63">
        <v>11</v>
      </c>
    </row>
    <row r="64" spans="1:32" s="63" customFormat="1" ht="11.45" customHeight="1">
      <c r="A64" s="572"/>
      <c r="C64" s="68"/>
      <c r="D64" s="55"/>
      <c r="E64" s="311" t="str">
        <f>FHD_NUM_P_28</f>
        <v>2.11.2</v>
      </c>
      <c r="F64" s="338" t="str">
        <f>FHD_P_28</f>
        <v>Расходы на капитальный ремонт</v>
      </c>
      <c r="G64" s="41" t="s">
        <v>556</v>
      </c>
      <c r="H64" s="321"/>
      <c r="I64" s="321"/>
      <c r="J64" s="67" t="str">
        <f>FHD_NOTE_P_28</f>
        <v>Указываются расходы на капитальный ремонт, отнесенные к общехозяйственным расходам.</v>
      </c>
      <c r="K64" s="68" t="str">
        <f t="shared" si="0"/>
        <v/>
      </c>
      <c r="L64" s="68"/>
      <c r="M64" s="68"/>
      <c r="R64" s="68"/>
      <c r="U64" s="309"/>
      <c r="AA64" s="8"/>
      <c r="AB64" s="8"/>
      <c r="AC64" s="8"/>
      <c r="AD64" s="8"/>
      <c r="AE64" s="8"/>
      <c r="AF64" s="63">
        <v>11</v>
      </c>
    </row>
    <row r="65" spans="1:32" s="63" customFormat="1" ht="11.45" customHeight="1">
      <c r="A65" s="572"/>
      <c r="C65" s="68"/>
      <c r="D65" s="55"/>
      <c r="E65" s="311" t="str">
        <f>FHD_NUM_P_29</f>
        <v>2.12</v>
      </c>
      <c r="F65" s="323" t="str">
        <f>FHD_P_29</f>
        <v>Расходы на капитальный и текущий ремонт основных средств</v>
      </c>
      <c r="G65" s="41" t="s">
        <v>556</v>
      </c>
      <c r="H65" s="321"/>
      <c r="I65" s="321"/>
      <c r="J65" s="6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68" t="str">
        <f t="shared" si="0"/>
        <v>p</v>
      </c>
      <c r="L65" s="68"/>
      <c r="M65" s="68"/>
      <c r="R65" s="68"/>
      <c r="U65" s="309"/>
      <c r="AA65" s="8"/>
      <c r="AB65" s="8"/>
      <c r="AC65" s="8"/>
      <c r="AD65" s="8"/>
      <c r="AE65" s="8"/>
      <c r="AF65" s="63">
        <v>11</v>
      </c>
    </row>
    <row r="66" spans="1:32" s="63" customFormat="1" ht="11.45" customHeight="1">
      <c r="A66" s="572"/>
      <c r="C66" s="68"/>
      <c r="D66" s="55"/>
      <c r="E66" s="311" t="str">
        <f>FHD_NUM_P_30</f>
        <v>2.12.1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310</v>
      </c>
      <c r="H66" s="113" t="s">
        <v>579</v>
      </c>
      <c r="I66" s="113" t="s">
        <v>579</v>
      </c>
      <c r="J66" s="67" t="str">
        <f>FHD_NOTE_P_30</f>
        <v/>
      </c>
      <c r="K66" s="68" t="str">
        <f t="shared" si="0"/>
        <v/>
      </c>
      <c r="L66" s="68">
        <f>IFERROR(MATCH("есть",B_FHD_FLAG_INDEX_1,0),0)</f>
        <v>0</v>
      </c>
      <c r="M66" s="68"/>
      <c r="R66" s="68"/>
      <c r="U66" s="309"/>
      <c r="AA66" s="8"/>
      <c r="AB66" s="8"/>
      <c r="AC66" s="8"/>
      <c r="AD66" s="8"/>
      <c r="AE66" s="8"/>
      <c r="AF66" s="63">
        <v>11</v>
      </c>
    </row>
    <row r="67" spans="1:32" s="63" customFormat="1" ht="23.25" hidden="1" customHeight="1">
      <c r="A67" s="1360" t="s">
        <v>580</v>
      </c>
      <c r="C67" s="68"/>
      <c r="D67" s="55"/>
      <c r="E67" s="311" t="str">
        <f>FHD_NUM_P_31</f>
        <v/>
      </c>
      <c r="F67" s="323" t="str">
        <f>FHD_P_31</f>
        <v/>
      </c>
      <c r="G67" s="41" t="s">
        <v>556</v>
      </c>
      <c r="H67" s="321"/>
      <c r="I67" s="321"/>
      <c r="J67" s="67" t="str">
        <f>FHD_NOTE_P_31</f>
        <v/>
      </c>
      <c r="K67" s="68" t="str">
        <f t="shared" si="0"/>
        <v/>
      </c>
      <c r="L67" s="68"/>
      <c r="M67" s="68"/>
      <c r="R67" s="68"/>
      <c r="U67" s="309"/>
      <c r="AA67" s="8"/>
      <c r="AB67" s="8"/>
      <c r="AC67" s="8"/>
      <c r="AD67" s="8"/>
      <c r="AE67" s="8"/>
      <c r="AF67" s="63">
        <v>22</v>
      </c>
    </row>
    <row r="68" spans="1:32" s="63" customFormat="1" ht="47.25" hidden="1" customHeight="1">
      <c r="A68" s="1360"/>
      <c r="C68" s="68"/>
      <c r="D68" s="55"/>
      <c r="E68" s="311" t="str">
        <f>FHD_NUM_P_32</f>
        <v/>
      </c>
      <c r="F68" s="338" t="str">
        <f>FHD_P_32</f>
        <v/>
      </c>
      <c r="G68" s="41" t="s">
        <v>310</v>
      </c>
      <c r="H68" s="113" t="s">
        <v>579</v>
      </c>
      <c r="I68" s="113" t="s">
        <v>579</v>
      </c>
      <c r="J68" s="67" t="str">
        <f>FHD_NOTE_P_32</f>
        <v/>
      </c>
      <c r="K68" s="68" t="str">
        <f t="shared" si="0"/>
        <v/>
      </c>
      <c r="L68" s="68">
        <f>IFERROR(MATCH("есть",B_FHD_FLAG_INDEX_2,0),0)</f>
        <v>0</v>
      </c>
      <c r="M68" s="68"/>
      <c r="R68" s="68"/>
      <c r="U68" s="309"/>
      <c r="AA68" s="8"/>
      <c r="AB68" s="8"/>
      <c r="AC68" s="8"/>
      <c r="AD68" s="8"/>
      <c r="AE68" s="8"/>
      <c r="AF68" s="63">
        <v>45</v>
      </c>
    </row>
    <row r="69" spans="1:32" s="63" customFormat="1" ht="11.45" customHeight="1">
      <c r="A69" s="572"/>
      <c r="C69" s="68"/>
      <c r="D69" s="55"/>
      <c r="E69" s="311" t="str">
        <f>FHD_NUM_P_33</f>
        <v>2.13</v>
      </c>
      <c r="F69" s="323" t="str">
        <f>FHD_P_33</f>
        <v>Прочие расходы, которые подлежат отнесению на регулируемые виды деятельности в соответствии с законодательством Российской Федерации</v>
      </c>
      <c r="G69" s="340" t="s">
        <v>556</v>
      </c>
      <c r="H69" s="341">
        <f>SUM(H70:H71)</f>
        <v>0</v>
      </c>
      <c r="I69" s="341">
        <f>SUM(I70:I71)</f>
        <v>0</v>
      </c>
      <c r="J69" s="6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68" t="str">
        <f t="shared" si="0"/>
        <v>p</v>
      </c>
      <c r="L69" s="68"/>
      <c r="M69" s="68"/>
      <c r="R69" s="68"/>
      <c r="U69" s="309"/>
      <c r="AA69" s="8"/>
      <c r="AB69" s="8"/>
      <c r="AC69" s="8"/>
      <c r="AD69" s="8"/>
      <c r="AE69" s="8"/>
      <c r="AF69" s="63">
        <v>11</v>
      </c>
    </row>
    <row r="70" spans="1:32" s="68" customFormat="1" ht="1.1499999999999999" customHeight="1">
      <c r="A70" s="313"/>
      <c r="D70" s="313"/>
      <c r="E70" s="316" t="str">
        <f>E69&amp;".0"</f>
        <v>2.13.0</v>
      </c>
      <c r="F70" s="576"/>
      <c r="G70" s="316"/>
      <c r="H70" s="577"/>
      <c r="I70" s="577"/>
      <c r="J70" s="578"/>
      <c r="K70" s="68" t="str">
        <f t="shared" si="0"/>
        <v/>
      </c>
      <c r="AF70" s="68">
        <v>1</v>
      </c>
    </row>
    <row r="71" spans="1:32" s="63" customFormat="1" ht="14.65" customHeight="1">
      <c r="A71" s="572"/>
      <c r="C71" s="68"/>
      <c r="D71" s="77"/>
      <c r="E71" s="333"/>
      <c r="F71" s="111" t="s">
        <v>581</v>
      </c>
      <c r="G71" s="334"/>
      <c r="H71" s="335"/>
      <c r="I71" s="335"/>
      <c r="J71" s="172"/>
      <c r="K71" s="68"/>
      <c r="L71" s="68"/>
      <c r="M71" s="68"/>
      <c r="R71" s="68"/>
      <c r="U71" s="309"/>
      <c r="AA71" s="8"/>
      <c r="AB71" s="8"/>
      <c r="AC71" s="8"/>
      <c r="AD71" s="8"/>
      <c r="AE71" s="8"/>
      <c r="AF71" s="63">
        <v>14</v>
      </c>
    </row>
    <row r="72" spans="1:32" s="63" customFormat="1" ht="18.75" customHeight="1">
      <c r="A72" s="574" t="s">
        <v>582</v>
      </c>
      <c r="C72" s="68"/>
      <c r="D72" s="55"/>
      <c r="E72" s="311" t="str">
        <f>FHD_NUM_P_34</f>
        <v>3</v>
      </c>
      <c r="F72" s="153" t="str">
        <f>FHD_P_34</f>
        <v>Валовая прибыль (убытки) от реализации товаров и оказания услуг по регулируемому виду деятельности</v>
      </c>
      <c r="G72" s="41" t="s">
        <v>556</v>
      </c>
      <c r="H72" s="321"/>
      <c r="I72" s="321"/>
      <c r="J72" s="67" t="str">
        <f>FHD_NOTE_P_34</f>
        <v/>
      </c>
      <c r="K72" s="308"/>
      <c r="L72" s="68"/>
      <c r="M72" s="68"/>
      <c r="R72" s="68"/>
      <c r="U72" s="309"/>
      <c r="AA72" s="8"/>
      <c r="AB72" s="8"/>
      <c r="AC72" s="8"/>
      <c r="AD72" s="8"/>
      <c r="AE72" s="8"/>
      <c r="AF72" s="63">
        <v>0</v>
      </c>
    </row>
    <row r="73" spans="1:32" s="63" customFormat="1" ht="19.899999999999999" customHeight="1">
      <c r="A73" s="572"/>
      <c r="C73" s="68"/>
      <c r="D73" s="337"/>
      <c r="E73" s="311" t="str">
        <f>FHD_NUM_P_35</f>
        <v>4</v>
      </c>
      <c r="F73" s="153" t="str">
        <f>FHD_P_35</f>
        <v>Чистая прибыль, полученная от регулируемого вида деятельности, в том числе:</v>
      </c>
      <c r="G73" s="41" t="s">
        <v>556</v>
      </c>
      <c r="H73" s="321"/>
      <c r="I73" s="321"/>
      <c r="J73" s="67" t="str">
        <f>FHD_NOTE_P_35</f>
        <v>Указывается общая сумма чистой прибыли, полученной от регулируемого вида деятельности.</v>
      </c>
      <c r="K73" s="308"/>
      <c r="L73" s="68"/>
      <c r="M73" s="68"/>
      <c r="R73" s="68"/>
      <c r="U73" s="309"/>
      <c r="AA73" s="8"/>
      <c r="AB73" s="8"/>
      <c r="AC73" s="8"/>
      <c r="AD73" s="8"/>
      <c r="AE73" s="8"/>
      <c r="AF73" s="63">
        <v>19</v>
      </c>
    </row>
    <row r="74" spans="1:32" s="63" customFormat="1" ht="19.899999999999999" customHeight="1">
      <c r="A74" s="572"/>
      <c r="C74" s="68"/>
      <c r="D74" s="55"/>
      <c r="E74" s="311" t="str">
        <f>FHD_NUM_P_36</f>
        <v>4.1</v>
      </c>
      <c r="F74"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556</v>
      </c>
      <c r="H74" s="321"/>
      <c r="I74" s="321"/>
      <c r="J74" s="67" t="str">
        <f>FHD_NOTE_P_36</f>
        <v/>
      </c>
      <c r="K74" s="308"/>
      <c r="L74" s="68"/>
      <c r="M74" s="68"/>
      <c r="R74" s="68"/>
      <c r="U74" s="309"/>
      <c r="AA74" s="8"/>
      <c r="AB74" s="8"/>
      <c r="AC74" s="8"/>
      <c r="AD74" s="8"/>
      <c r="AE74" s="8"/>
      <c r="AF74" s="63">
        <v>19</v>
      </c>
    </row>
    <row r="75" spans="1:32" s="63" customFormat="1" ht="19.899999999999999" customHeight="1">
      <c r="A75" s="572"/>
      <c r="C75" s="68"/>
      <c r="D75" s="55"/>
      <c r="E75" s="311" t="str">
        <f>FHD_NUM_P_37</f>
        <v>5</v>
      </c>
      <c r="F75" s="153" t="str">
        <f>FHD_P_37</f>
        <v>Изменение стоимости основных фондов, в том числе:</v>
      </c>
      <c r="G75" s="41" t="s">
        <v>556</v>
      </c>
      <c r="H75" s="321"/>
      <c r="I75" s="321"/>
      <c r="J75" s="67" t="str">
        <f>FHD_NOTE_P_37</f>
        <v>Указывается общее изменение стоимости основных фондов.</v>
      </c>
      <c r="K75" s="308"/>
      <c r="L75" s="68"/>
      <c r="M75" s="68"/>
      <c r="R75" s="68"/>
      <c r="U75" s="309"/>
      <c r="AA75" s="8"/>
      <c r="AB75" s="8"/>
      <c r="AC75" s="8"/>
      <c r="AD75" s="8"/>
      <c r="AE75" s="8"/>
      <c r="AF75" s="63">
        <v>19</v>
      </c>
    </row>
    <row r="76" spans="1:32" s="63" customFormat="1" ht="19.899999999999999" customHeight="1">
      <c r="A76" s="572"/>
      <c r="C76" s="68"/>
      <c r="D76" s="55"/>
      <c r="E76" s="311" t="str">
        <f>FHD_NUM_P_38</f>
        <v>5.1</v>
      </c>
      <c r="F76" s="323" t="str">
        <f>FHD_P_38</f>
        <v>Изменение стоимости основных фондов за счет:</v>
      </c>
      <c r="G76" s="41" t="s">
        <v>556</v>
      </c>
      <c r="H76" s="321"/>
      <c r="I76" s="321"/>
      <c r="J76" s="67" t="str">
        <f>FHD_NOTE_P_38</f>
        <v>Указываются общее изменение стоимости основных фондов за счет их ввода в эксплуатацию и вывода из эксплуатации.</v>
      </c>
      <c r="K76" s="308"/>
      <c r="L76" s="68"/>
      <c r="M76" s="68"/>
      <c r="R76" s="68"/>
      <c r="U76" s="309"/>
      <c r="AA76" s="8"/>
      <c r="AB76" s="8"/>
      <c r="AC76" s="8"/>
      <c r="AD76" s="8"/>
      <c r="AE76" s="8"/>
      <c r="AF76" s="63">
        <v>19</v>
      </c>
    </row>
    <row r="77" spans="1:32" s="63" customFormat="1" ht="19.899999999999999" customHeight="1">
      <c r="A77" s="572"/>
      <c r="C77" s="68"/>
      <c r="D77" s="55"/>
      <c r="E77" s="311" t="str">
        <f>FHD_NUM_P_39</f>
        <v>5.1.1</v>
      </c>
      <c r="F77" s="338" t="str">
        <f>FHD_P_39</f>
        <v>Изменения стоимости основных фондов за счет их ввода в эксплуатацию</v>
      </c>
      <c r="G77" s="340" t="s">
        <v>556</v>
      </c>
      <c r="H77" s="321"/>
      <c r="I77" s="321"/>
      <c r="J77" s="67" t="str">
        <f>FHD_NOTE_P_39</f>
        <v>Указываются изменение стоимости основных фондов за счет их ввода в эксплуатацию.</v>
      </c>
      <c r="K77" s="308"/>
      <c r="L77" s="68"/>
      <c r="M77" s="68"/>
      <c r="R77" s="68"/>
      <c r="U77" s="309"/>
      <c r="AA77" s="8"/>
      <c r="AB77" s="8"/>
      <c r="AC77" s="8"/>
      <c r="AD77" s="8"/>
      <c r="AE77" s="8"/>
      <c r="AF77" s="63">
        <v>19</v>
      </c>
    </row>
    <row r="78" spans="1:32" s="63" customFormat="1" ht="19.899999999999999" customHeight="1">
      <c r="A78" s="572"/>
      <c r="C78" s="68"/>
      <c r="D78" s="55"/>
      <c r="E78" s="311" t="str">
        <f>FHD_NUM_P_40</f>
        <v>5.1.2</v>
      </c>
      <c r="F78" s="1095" t="str">
        <f>FHD_P_40</f>
        <v>Изменения стоимости основных фондов за счет их вывода в эксплуатацию</v>
      </c>
      <c r="G78" s="41" t="s">
        <v>556</v>
      </c>
      <c r="H78" s="561"/>
      <c r="I78" s="321"/>
      <c r="J78" s="67" t="str">
        <f>FHD_NOTE_P_40</f>
        <v>Указываются изменение стоимости основных фондов за счет их вывода из эксплуатации.</v>
      </c>
      <c r="K78" s="308"/>
      <c r="L78" s="68"/>
      <c r="M78" s="68"/>
      <c r="R78" s="68"/>
      <c r="U78" s="309"/>
      <c r="AA78" s="8"/>
      <c r="AB78" s="8"/>
      <c r="AC78" s="8"/>
      <c r="AD78" s="8"/>
      <c r="AE78" s="8"/>
      <c r="AF78" s="63">
        <v>19</v>
      </c>
    </row>
    <row r="79" spans="1:32" s="63" customFormat="1" ht="19.899999999999999" customHeight="1">
      <c r="A79" s="572"/>
      <c r="C79" s="68"/>
      <c r="D79" s="55"/>
      <c r="E79" s="311" t="str">
        <f>FHD_NUM_P_41</f>
        <v>5.2</v>
      </c>
      <c r="F79" s="1094" t="str">
        <f>FHD_P_41</f>
        <v>Изменение стоимости основных фондов за счет их переоценки</v>
      </c>
      <c r="G79" s="41" t="s">
        <v>556</v>
      </c>
      <c r="H79" s="561"/>
      <c r="I79" s="321"/>
      <c r="J79" s="67" t="str">
        <f>FHD_NOTE_P_41</f>
        <v/>
      </c>
      <c r="K79" s="308"/>
      <c r="L79" s="68"/>
      <c r="M79" s="68"/>
      <c r="R79" s="68"/>
      <c r="U79" s="309"/>
      <c r="AA79" s="8"/>
      <c r="AB79" s="8"/>
      <c r="AC79" s="8"/>
      <c r="AD79" s="8"/>
      <c r="AE79" s="8"/>
      <c r="AF79" s="63">
        <v>19</v>
      </c>
    </row>
    <row r="80" spans="1:32" s="63" customFormat="1" ht="19.899999999999999" hidden="1" customHeight="1">
      <c r="A80" s="574" t="s">
        <v>583</v>
      </c>
      <c r="C80" s="68"/>
      <c r="D80" s="55"/>
      <c r="E80" s="311" t="str">
        <f>FHD_NUM_P_42</f>
        <v/>
      </c>
      <c r="F80" s="1093" t="str">
        <f>FHD_P_42</f>
        <v/>
      </c>
      <c r="G80" s="41" t="s">
        <v>556</v>
      </c>
      <c r="H80" s="561"/>
      <c r="I80" s="321"/>
      <c r="J80" s="67" t="str">
        <f>FHD_NOTE_P_42</f>
        <v/>
      </c>
      <c r="K80" s="308"/>
      <c r="L80" s="68"/>
      <c r="M80" s="68"/>
      <c r="R80" s="68"/>
      <c r="U80" s="309"/>
      <c r="AA80" s="8"/>
      <c r="AB80" s="8"/>
      <c r="AC80" s="8"/>
      <c r="AD80" s="8"/>
      <c r="AE80" s="8"/>
      <c r="AF80" s="63">
        <v>19</v>
      </c>
    </row>
    <row r="81" spans="1:32" s="63" customFormat="1" ht="19.899999999999999" customHeight="1">
      <c r="A81" s="572"/>
      <c r="C81" s="68"/>
      <c r="D81" s="55"/>
      <c r="E81" s="311" t="str">
        <f>FHD_NUM_P_43</f>
        <v>6</v>
      </c>
      <c r="F81" s="153" t="str">
        <f>FHD_P_43</f>
        <v>Годовая бухгалтерская (финансовая) отчетность, включая бухгалтерский баланс и приложения к нему</v>
      </c>
      <c r="G81" s="447" t="s">
        <v>310</v>
      </c>
      <c r="H81" s="621"/>
      <c r="I81" s="228"/>
      <c r="J81" s="6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308"/>
      <c r="L81" s="68"/>
      <c r="M81" s="68"/>
      <c r="R81" s="68"/>
      <c r="U81" s="309"/>
      <c r="AA81" s="8"/>
      <c r="AB81" s="8"/>
      <c r="AC81" s="8"/>
      <c r="AD81" s="8"/>
      <c r="AE81" s="8"/>
      <c r="AF81" s="63">
        <v>19</v>
      </c>
    </row>
    <row r="82" spans="1:32" s="63" customFormat="1" ht="18.75" hidden="1" customHeight="1">
      <c r="A82" s="1360" t="s">
        <v>584</v>
      </c>
      <c r="C82" s="68"/>
      <c r="D82" s="55"/>
      <c r="E82" s="311" t="str">
        <f>FHD_NUM_P_44</f>
        <v/>
      </c>
      <c r="F82" s="153" t="str">
        <f>FHD_P_44</f>
        <v/>
      </c>
      <c r="G82" s="41" t="s">
        <v>585</v>
      </c>
      <c r="H82" s="562"/>
      <c r="I82" s="339"/>
      <c r="J82" s="67" t="str">
        <f>FHD_NOTE_P_44</f>
        <v/>
      </c>
      <c r="K82" s="308"/>
      <c r="L82" s="68"/>
      <c r="M82" s="68"/>
      <c r="R82" s="68"/>
      <c r="U82" s="309"/>
      <c r="AA82" s="8"/>
      <c r="AB82" s="8"/>
      <c r="AC82" s="8"/>
      <c r="AD82" s="8"/>
      <c r="AE82" s="8"/>
      <c r="AF82" s="63">
        <v>0</v>
      </c>
    </row>
    <row r="83" spans="1:32" s="63" customFormat="1" ht="18.75" hidden="1" customHeight="1">
      <c r="A83" s="1360"/>
      <c r="C83" s="68"/>
      <c r="D83" s="55"/>
      <c r="E83" s="311" t="str">
        <f>FHD_NUM_P_45</f>
        <v/>
      </c>
      <c r="F83" s="153" t="str">
        <f>FHD_P_45</f>
        <v/>
      </c>
      <c r="G83" s="41" t="s">
        <v>585</v>
      </c>
      <c r="H83" s="562"/>
      <c r="I83" s="339"/>
      <c r="J83" s="67" t="str">
        <f>FHD_NOTE_P_45</f>
        <v/>
      </c>
      <c r="K83" s="308"/>
      <c r="L83" s="68"/>
      <c r="M83" s="68"/>
      <c r="R83" s="68"/>
      <c r="U83" s="309"/>
      <c r="AA83" s="8"/>
      <c r="AB83" s="8"/>
      <c r="AC83" s="8"/>
      <c r="AD83" s="8"/>
      <c r="AE83" s="8"/>
      <c r="AF83" s="63">
        <v>0</v>
      </c>
    </row>
    <row r="84" spans="1:32" s="63" customFormat="1" ht="18.75" hidden="1" customHeight="1">
      <c r="A84" s="1360"/>
      <c r="C84" s="68"/>
      <c r="D84" s="337"/>
      <c r="E84" s="311" t="str">
        <f>FHD_NUM_P_46</f>
        <v/>
      </c>
      <c r="F84" s="153" t="str">
        <f>FHD_P_46</f>
        <v/>
      </c>
      <c r="G84" s="41" t="s">
        <v>585</v>
      </c>
      <c r="H84" s="562"/>
      <c r="I84" s="339"/>
      <c r="J84" s="67" t="str">
        <f>FHD_NOTE_P_46</f>
        <v/>
      </c>
      <c r="K84" s="308"/>
      <c r="L84" s="68"/>
      <c r="M84" s="68"/>
      <c r="R84" s="68"/>
      <c r="U84" s="309"/>
      <c r="AA84" s="8"/>
      <c r="AB84" s="8"/>
      <c r="AC84" s="8"/>
      <c r="AD84" s="8"/>
      <c r="AE84" s="8"/>
      <c r="AF84" s="63">
        <v>0</v>
      </c>
    </row>
    <row r="85" spans="1:32" s="63" customFormat="1" ht="18.75" hidden="1" customHeight="1">
      <c r="A85" s="1360"/>
      <c r="C85" s="68"/>
      <c r="D85" s="55"/>
      <c r="E85" s="311" t="str">
        <f>FHD_NUM_P_47</f>
        <v/>
      </c>
      <c r="F85" s="153" t="str">
        <f>FHD_P_47</f>
        <v/>
      </c>
      <c r="G85" s="41" t="s">
        <v>585</v>
      </c>
      <c r="H85" s="562"/>
      <c r="I85" s="339"/>
      <c r="J85" s="67" t="str">
        <f>FHD_NOTE_P_47</f>
        <v/>
      </c>
      <c r="K85" s="308"/>
      <c r="L85" s="68"/>
      <c r="M85" s="68"/>
      <c r="R85" s="68"/>
      <c r="U85" s="309"/>
      <c r="AA85" s="8"/>
      <c r="AB85" s="8"/>
      <c r="AC85" s="8"/>
      <c r="AD85" s="8"/>
      <c r="AE85" s="8"/>
      <c r="AF85" s="63">
        <v>0</v>
      </c>
    </row>
    <row r="86" spans="1:32" s="11" customFormat="1" ht="18.75" hidden="1" customHeight="1">
      <c r="A86" s="1360"/>
      <c r="B86" s="63"/>
      <c r="C86" s="68"/>
      <c r="D86" s="55"/>
      <c r="E86" s="311" t="str">
        <f>FHD_NUM_P_48</f>
        <v/>
      </c>
      <c r="F86" s="153" t="str">
        <f>FHD_P_48</f>
        <v/>
      </c>
      <c r="G86" s="41" t="s">
        <v>585</v>
      </c>
      <c r="H86" s="562"/>
      <c r="I86" s="339"/>
      <c r="J86" s="67" t="str">
        <f>FHD_NOTE_P_48</f>
        <v/>
      </c>
      <c r="K86" s="308"/>
      <c r="L86" s="68"/>
      <c r="M86" s="68"/>
      <c r="N86" s="63"/>
      <c r="O86" s="63"/>
      <c r="P86" s="63"/>
      <c r="Q86" s="63"/>
      <c r="R86" s="68"/>
      <c r="S86" s="63"/>
      <c r="T86" s="63"/>
      <c r="U86" s="309"/>
      <c r="V86" s="63"/>
      <c r="W86" s="63"/>
      <c r="X86" s="63"/>
      <c r="Y86" s="63"/>
      <c r="Z86" s="63"/>
      <c r="AA86" s="8"/>
      <c r="AB86" s="8"/>
      <c r="AC86" s="8"/>
      <c r="AD86" s="8"/>
      <c r="AE86" s="8"/>
      <c r="AF86" s="11">
        <v>0</v>
      </c>
    </row>
    <row r="87" spans="1:32" s="11" customFormat="1" ht="18.75" hidden="1" customHeight="1">
      <c r="A87" s="1360"/>
      <c r="B87" s="63"/>
      <c r="C87" s="68"/>
      <c r="D87" s="55"/>
      <c r="E87" s="311" t="str">
        <f>FHD_NUM_P_49</f>
        <v/>
      </c>
      <c r="F87" s="153" t="str">
        <f>FHD_P_49</f>
        <v/>
      </c>
      <c r="G87" s="41" t="s">
        <v>585</v>
      </c>
      <c r="H87" s="563">
        <f>SUM(H88:H89)</f>
        <v>0</v>
      </c>
      <c r="I87" s="434">
        <f>SUM(I88:I89)</f>
        <v>0</v>
      </c>
      <c r="J87" s="67" t="str">
        <f>FHD_NOTE_P_49</f>
        <v/>
      </c>
      <c r="K87" s="308"/>
      <c r="L87" s="68"/>
      <c r="M87" s="68"/>
      <c r="N87" s="63"/>
      <c r="O87" s="63"/>
      <c r="P87" s="63"/>
      <c r="Q87" s="63"/>
      <c r="R87" s="68"/>
      <c r="S87" s="63"/>
      <c r="T87" s="63"/>
      <c r="U87" s="309"/>
      <c r="V87" s="63"/>
      <c r="W87" s="63"/>
      <c r="X87" s="63"/>
      <c r="Y87" s="63"/>
      <c r="Z87" s="63"/>
      <c r="AA87" s="8"/>
      <c r="AB87" s="8"/>
      <c r="AC87" s="8"/>
      <c r="AD87" s="8"/>
      <c r="AE87" s="8"/>
      <c r="AF87" s="11">
        <v>0</v>
      </c>
    </row>
    <row r="88" spans="1:32" s="11" customFormat="1" ht="18.75" hidden="1" customHeight="1">
      <c r="A88" s="1360"/>
      <c r="B88" s="63"/>
      <c r="C88" s="68"/>
      <c r="D88" s="55"/>
      <c r="E88" s="311" t="str">
        <f>FHD_NUM_P_50</f>
        <v/>
      </c>
      <c r="F88" s="153" t="str">
        <f>FHD_P_50</f>
        <v/>
      </c>
      <c r="G88" s="41" t="s">
        <v>585</v>
      </c>
      <c r="H88" s="562"/>
      <c r="I88" s="339"/>
      <c r="J88" s="67" t="str">
        <f>FHD_NOTE_P_50</f>
        <v/>
      </c>
      <c r="K88" s="308"/>
      <c r="L88" s="68"/>
      <c r="M88" s="68"/>
      <c r="N88" s="63"/>
      <c r="O88" s="63"/>
      <c r="P88" s="63"/>
      <c r="Q88" s="63"/>
      <c r="R88" s="68"/>
      <c r="S88" s="63"/>
      <c r="T88" s="63"/>
      <c r="U88" s="309"/>
      <c r="V88" s="63"/>
      <c r="W88" s="63"/>
      <c r="X88" s="63"/>
      <c r="Y88" s="63"/>
      <c r="Z88" s="63"/>
      <c r="AA88" s="8"/>
      <c r="AB88" s="8"/>
      <c r="AC88" s="8"/>
      <c r="AD88" s="8"/>
      <c r="AE88" s="8"/>
      <c r="AF88" s="11">
        <v>0</v>
      </c>
    </row>
    <row r="89" spans="1:32" s="11" customFormat="1" ht="18.75" hidden="1" customHeight="1">
      <c r="A89" s="1360"/>
      <c r="B89" s="63"/>
      <c r="C89" s="68"/>
      <c r="D89" s="55"/>
      <c r="E89" s="311" t="str">
        <f>FHD_NUM_P_51</f>
        <v/>
      </c>
      <c r="F89" s="153" t="str">
        <f>FHD_P_51</f>
        <v/>
      </c>
      <c r="G89" s="41" t="s">
        <v>585</v>
      </c>
      <c r="H89" s="562"/>
      <c r="I89" s="339"/>
      <c r="J89" s="67" t="str">
        <f>FHD_NOTE_P_51</f>
        <v/>
      </c>
      <c r="K89" s="308"/>
      <c r="L89" s="68"/>
      <c r="M89" s="68"/>
      <c r="N89" s="63"/>
      <c r="O89" s="63"/>
      <c r="P89" s="63"/>
      <c r="Q89" s="63"/>
      <c r="R89" s="68"/>
      <c r="S89" s="63"/>
      <c r="T89" s="63"/>
      <c r="U89" s="309"/>
      <c r="V89" s="63"/>
      <c r="W89" s="63"/>
      <c r="X89" s="63"/>
      <c r="Y89" s="63"/>
      <c r="Z89" s="63"/>
      <c r="AA89" s="8"/>
      <c r="AB89" s="8"/>
      <c r="AC89" s="8"/>
      <c r="AD89" s="8"/>
      <c r="AE89" s="8"/>
      <c r="AF89" s="11">
        <v>0</v>
      </c>
    </row>
    <row r="90" spans="1:32" s="11" customFormat="1" ht="18.75" hidden="1" customHeight="1">
      <c r="A90" s="1360"/>
      <c r="B90" s="63"/>
      <c r="C90" s="68"/>
      <c r="D90" s="55"/>
      <c r="E90" s="311" t="str">
        <f>FHD_NUM_P_52</f>
        <v/>
      </c>
      <c r="F90" s="153" t="str">
        <f>FHD_P_52</f>
        <v/>
      </c>
      <c r="G90" s="41" t="s">
        <v>562</v>
      </c>
      <c r="H90" s="561"/>
      <c r="I90" s="321"/>
      <c r="J90" s="67" t="str">
        <f>FHD_NOTE_P_52</f>
        <v/>
      </c>
      <c r="K90" s="308"/>
      <c r="L90" s="68"/>
      <c r="M90" s="68"/>
      <c r="N90" s="63"/>
      <c r="O90" s="63"/>
      <c r="P90" s="63"/>
      <c r="Q90" s="63"/>
      <c r="R90" s="68"/>
      <c r="S90" s="63"/>
      <c r="T90" s="63"/>
      <c r="U90" s="309"/>
      <c r="V90" s="63"/>
      <c r="W90" s="63"/>
      <c r="X90" s="63"/>
      <c r="Y90" s="63"/>
      <c r="Z90" s="63"/>
      <c r="AA90" s="8"/>
      <c r="AB90" s="8"/>
      <c r="AC90" s="8"/>
      <c r="AD90" s="8"/>
      <c r="AE90" s="8"/>
      <c r="AF90" s="11">
        <v>0</v>
      </c>
    </row>
    <row r="91" spans="1:32" s="63" customFormat="1" ht="18.75" hidden="1" customHeight="1">
      <c r="A91" s="1360" t="s">
        <v>586</v>
      </c>
      <c r="C91" s="68"/>
      <c r="D91" s="55"/>
      <c r="E91" s="311" t="str">
        <f>FHD_NUM_P_53</f>
        <v/>
      </c>
      <c r="F91" s="153" t="str">
        <f>FHD_P_53</f>
        <v/>
      </c>
      <c r="G91" s="41" t="s">
        <v>585</v>
      </c>
      <c r="H91" s="562"/>
      <c r="I91" s="339"/>
      <c r="J91" s="67" t="str">
        <f>FHD_NOTE_P_53</f>
        <v/>
      </c>
      <c r="K91" s="308"/>
      <c r="L91" s="68"/>
      <c r="M91" s="68"/>
      <c r="R91" s="68"/>
      <c r="U91" s="309"/>
      <c r="AA91" s="8"/>
      <c r="AB91" s="8"/>
      <c r="AC91" s="8"/>
      <c r="AD91" s="8"/>
      <c r="AE91" s="8"/>
      <c r="AF91" s="63">
        <v>0</v>
      </c>
    </row>
    <row r="92" spans="1:32" s="63" customFormat="1" ht="18.75" hidden="1" customHeight="1">
      <c r="A92" s="1360"/>
      <c r="C92" s="68"/>
      <c r="D92" s="55"/>
      <c r="E92" s="311" t="str">
        <f>FHD_NUM_P_54</f>
        <v/>
      </c>
      <c r="F92" s="153" t="str">
        <f>FHD_P_54</f>
        <v/>
      </c>
      <c r="G92" s="41" t="s">
        <v>585</v>
      </c>
      <c r="H92" s="562"/>
      <c r="I92" s="339"/>
      <c r="J92" s="67" t="str">
        <f>FHD_NOTE_P_54</f>
        <v/>
      </c>
      <c r="K92" s="308"/>
      <c r="L92" s="68"/>
      <c r="M92" s="68"/>
      <c r="R92" s="68"/>
      <c r="U92" s="309"/>
      <c r="AA92" s="8"/>
      <c r="AB92" s="8"/>
      <c r="AC92" s="8"/>
      <c r="AD92" s="8"/>
      <c r="AE92" s="8"/>
      <c r="AF92" s="63">
        <v>0</v>
      </c>
    </row>
    <row r="93" spans="1:32" s="63" customFormat="1" ht="18.75" hidden="1" customHeight="1">
      <c r="A93" s="1360"/>
      <c r="C93" s="68"/>
      <c r="D93" s="337"/>
      <c r="E93" s="311" t="str">
        <f>FHD_NUM_P_55</f>
        <v/>
      </c>
      <c r="F93" s="153" t="str">
        <f>FHD_P_55</f>
        <v/>
      </c>
      <c r="G93" s="856"/>
      <c r="H93" s="562"/>
      <c r="I93" s="339"/>
      <c r="J93" s="67" t="str">
        <f>FHD_NOTE_P_55</f>
        <v/>
      </c>
      <c r="K93" s="308"/>
      <c r="L93" s="68"/>
      <c r="M93" s="68"/>
      <c r="R93" s="68"/>
      <c r="U93" s="309"/>
      <c r="AA93" s="8"/>
      <c r="AB93" s="8"/>
      <c r="AC93" s="8"/>
      <c r="AD93" s="8"/>
      <c r="AE93" s="8"/>
      <c r="AF93" s="63">
        <v>0</v>
      </c>
    </row>
    <row r="94" spans="1:32" s="63" customFormat="1" ht="18.75" hidden="1" customHeight="1">
      <c r="A94" s="1360"/>
      <c r="C94" s="68"/>
      <c r="D94" s="55"/>
      <c r="E94" s="311" t="str">
        <f>FHD_NUM_P_56</f>
        <v/>
      </c>
      <c r="F94" s="153" t="str">
        <f>FHD_P_56</f>
        <v/>
      </c>
      <c r="G94" s="41" t="s">
        <v>587</v>
      </c>
      <c r="H94" s="562"/>
      <c r="I94" s="339"/>
      <c r="J94" s="67" t="str">
        <f>FHD_NOTE_P_56</f>
        <v/>
      </c>
      <c r="K94" s="308"/>
      <c r="L94" s="68"/>
      <c r="M94" s="68"/>
      <c r="R94" s="68"/>
      <c r="U94" s="309"/>
      <c r="AA94" s="8"/>
      <c r="AB94" s="8"/>
      <c r="AC94" s="8"/>
      <c r="AD94" s="8"/>
      <c r="AE94" s="8"/>
      <c r="AF94" s="63">
        <v>0</v>
      </c>
    </row>
    <row r="95" spans="1:32" s="11" customFormat="1" ht="18.75" hidden="1" customHeight="1">
      <c r="A95" s="1360"/>
      <c r="B95" s="63"/>
      <c r="C95" s="68"/>
      <c r="D95" s="55"/>
      <c r="E95" s="311" t="str">
        <f>FHD_NUM_P_57</f>
        <v/>
      </c>
      <c r="F95" s="153" t="str">
        <f>FHD_P_57</f>
        <v/>
      </c>
      <c r="G95" s="41" t="s">
        <v>562</v>
      </c>
      <c r="H95" s="561"/>
      <c r="I95" s="321"/>
      <c r="J95" s="67" t="str">
        <f>FHD_NOTE_P_57</f>
        <v/>
      </c>
      <c r="K95" s="308"/>
      <c r="L95" s="68"/>
      <c r="M95" s="68"/>
      <c r="N95" s="63"/>
      <c r="O95" s="63"/>
      <c r="P95" s="63"/>
      <c r="Q95" s="63"/>
      <c r="R95" s="68"/>
      <c r="S95" s="63"/>
      <c r="T95" s="63"/>
      <c r="U95" s="309"/>
      <c r="V95" s="63"/>
      <c r="W95" s="63"/>
      <c r="X95" s="63"/>
      <c r="Y95" s="63"/>
      <c r="Z95" s="63"/>
      <c r="AA95" s="8"/>
      <c r="AB95" s="8"/>
      <c r="AC95" s="8"/>
      <c r="AD95" s="8"/>
      <c r="AE95" s="8"/>
      <c r="AF95" s="11">
        <v>0</v>
      </c>
    </row>
    <row r="96" spans="1:32" ht="18.75" hidden="1" customHeight="1">
      <c r="A96" s="1360" t="s">
        <v>588</v>
      </c>
      <c r="D96" s="55"/>
      <c r="E96" s="311" t="str">
        <f>FHD_NUM_P_58</f>
        <v/>
      </c>
      <c r="F96" s="153" t="str">
        <f>FHD_P_58</f>
        <v/>
      </c>
      <c r="G96" s="41" t="s">
        <v>585</v>
      </c>
      <c r="H96" s="562"/>
      <c r="I96" s="339"/>
      <c r="J96" s="67" t="str">
        <f>FHD_NOTE_P_58</f>
        <v/>
      </c>
      <c r="K96" s="308"/>
      <c r="AF96" s="11">
        <v>0</v>
      </c>
    </row>
    <row r="97" spans="1:32" ht="18.75" hidden="1" customHeight="1">
      <c r="A97" s="1360"/>
      <c r="D97" s="55"/>
      <c r="E97" s="311" t="str">
        <f>FHD_NUM_P_59</f>
        <v/>
      </c>
      <c r="F97" s="153" t="str">
        <f>FHD_P_59</f>
        <v/>
      </c>
      <c r="G97" s="41" t="s">
        <v>585</v>
      </c>
      <c r="H97" s="562"/>
      <c r="I97" s="339"/>
      <c r="J97" s="67" t="str">
        <f>FHD_NOTE_P_59</f>
        <v/>
      </c>
      <c r="K97" s="308"/>
      <c r="AF97" s="11">
        <v>0</v>
      </c>
    </row>
    <row r="98" spans="1:32" ht="18.75" hidden="1" customHeight="1">
      <c r="A98" s="1360"/>
      <c r="D98" s="55"/>
      <c r="E98" s="311" t="str">
        <f>FHD_NUM_P_60</f>
        <v/>
      </c>
      <c r="F98" s="153" t="str">
        <f>FHD_P_60</f>
        <v/>
      </c>
      <c r="G98" s="41" t="s">
        <v>585</v>
      </c>
      <c r="H98" s="562"/>
      <c r="I98" s="339"/>
      <c r="J98" s="67" t="str">
        <f>FHD_NOTE_P_60</f>
        <v/>
      </c>
      <c r="K98" s="308"/>
      <c r="AF98" s="11">
        <v>0</v>
      </c>
    </row>
    <row r="99" spans="1:32" s="63" customFormat="1" ht="18.75" customHeight="1">
      <c r="A99" s="1360" t="s">
        <v>589</v>
      </c>
      <c r="C99" s="68"/>
      <c r="D99" s="55"/>
      <c r="E99" s="311" t="str">
        <f>FHD_NUM_P_61</f>
        <v>7</v>
      </c>
      <c r="F99" s="15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41" t="s">
        <v>560</v>
      </c>
      <c r="H99" s="564"/>
      <c r="I99" s="430"/>
      <c r="J99" s="6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308"/>
      <c r="L99" s="68"/>
      <c r="M99" s="68"/>
      <c r="R99" s="68"/>
      <c r="U99" s="309"/>
      <c r="AA99" s="8"/>
      <c r="AB99" s="8"/>
      <c r="AC99" s="8"/>
      <c r="AD99" s="8"/>
      <c r="AE99" s="8"/>
      <c r="AF99" s="63">
        <v>0</v>
      </c>
    </row>
    <row r="100" spans="1:32" s="68" customFormat="1" ht="0.75" customHeight="1">
      <c r="A100" s="1360"/>
      <c r="D100" s="313"/>
      <c r="E100" s="316" t="str">
        <f>E99&amp;".0"</f>
        <v>7.0</v>
      </c>
      <c r="F100" s="579"/>
      <c r="G100" s="580"/>
      <c r="H100" s="577"/>
      <c r="I100" s="577"/>
      <c r="J100" s="581"/>
      <c r="AF100" s="68">
        <v>0</v>
      </c>
    </row>
    <row r="101" spans="1:32" ht="15" customHeight="1">
      <c r="A101" s="1360"/>
      <c r="D101" s="77"/>
      <c r="E101" s="558"/>
      <c r="F101" s="559" t="s">
        <v>590</v>
      </c>
      <c r="G101" s="334"/>
      <c r="H101" s="335"/>
      <c r="I101" s="335"/>
      <c r="J101" s="199" t="s">
        <v>591</v>
      </c>
      <c r="K101" s="308"/>
      <c r="AF101" s="11">
        <v>0</v>
      </c>
    </row>
    <row r="102" spans="1:32" s="63" customFormat="1" ht="18.75" customHeight="1">
      <c r="A102" s="1360"/>
      <c r="C102" s="68"/>
      <c r="D102" s="55"/>
      <c r="E102" s="311" t="str">
        <f>FHD_NUM_P_62</f>
        <v>8</v>
      </c>
      <c r="F102" s="153" t="str">
        <f>FHD_P_62</f>
        <v>Тепловая нагрузка по договорам, заключенным в рамках осуществления регулируемых видов деятельности</v>
      </c>
      <c r="G102" s="395" t="s">
        <v>560</v>
      </c>
      <c r="H102" s="321"/>
      <c r="I102" s="321"/>
      <c r="J102" s="6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308"/>
      <c r="L102" s="68"/>
      <c r="M102" s="68"/>
      <c r="R102" s="68"/>
      <c r="U102" s="309"/>
      <c r="AA102" s="8"/>
      <c r="AB102" s="8"/>
      <c r="AC102" s="8"/>
      <c r="AD102" s="8"/>
      <c r="AE102" s="8"/>
      <c r="AF102" s="63">
        <v>0</v>
      </c>
    </row>
    <row r="103" spans="1:32" s="63" customFormat="1" ht="18.75" customHeight="1">
      <c r="A103" s="1360"/>
      <c r="C103" s="68"/>
      <c r="D103" s="55"/>
      <c r="E103" s="311" t="str">
        <f>FHD_NUM_P_63</f>
        <v>9</v>
      </c>
      <c r="F103" s="153" t="str">
        <f>FHD_P_63</f>
        <v>Объем вырабатываемой регулируемой организацией тепловой энергии в рамках осуществления регулируемых видов деятельности</v>
      </c>
      <c r="G103" s="395" t="s">
        <v>587</v>
      </c>
      <c r="H103" s="339"/>
      <c r="I103" s="339"/>
      <c r="J103" s="6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308"/>
      <c r="L103" s="68"/>
      <c r="M103" s="68"/>
      <c r="R103" s="68"/>
      <c r="U103" s="309"/>
      <c r="AA103" s="8"/>
      <c r="AB103" s="8"/>
      <c r="AC103" s="8"/>
      <c r="AD103" s="8"/>
      <c r="AE103" s="8"/>
      <c r="AF103" s="63">
        <v>0</v>
      </c>
    </row>
    <row r="104" spans="1:32" s="63" customFormat="1" ht="18.75" customHeight="1">
      <c r="A104" s="1360"/>
      <c r="C104" s="68" t="s">
        <v>592</v>
      </c>
      <c r="D104" s="55"/>
      <c r="E104" s="311" t="str">
        <f>FHD_NUM_P_64</f>
        <v>9.1</v>
      </c>
      <c r="F104" s="153" t="str">
        <f>FHD_P_64</f>
        <v>Объем приобретаемой регулируемой организацией тепловой энергии в рамках осуществления регулируемых видов деятельности</v>
      </c>
      <c r="G104" s="395" t="s">
        <v>587</v>
      </c>
      <c r="H104" s="310"/>
      <c r="I104" s="310"/>
      <c r="J104" s="67" t="str">
        <f>FHD_NOTE_P_64</f>
        <v>Информация указывается только едиными теплоснабжающими организациями.</v>
      </c>
      <c r="K104" s="308"/>
      <c r="L104" s="68"/>
      <c r="M104" s="68"/>
      <c r="R104" s="68"/>
      <c r="U104" s="309"/>
      <c r="AA104" s="8"/>
      <c r="AB104" s="8"/>
      <c r="AC104" s="8"/>
      <c r="AD104" s="8"/>
      <c r="AE104" s="8"/>
      <c r="AF104" s="63">
        <v>0</v>
      </c>
    </row>
    <row r="105" spans="1:32" s="63" customFormat="1" ht="18.75" customHeight="1">
      <c r="A105" s="1360"/>
      <c r="C105" s="68"/>
      <c r="D105" s="55"/>
      <c r="E105" s="311" t="str">
        <f>FHD_NUM_P_65</f>
        <v>10</v>
      </c>
      <c r="F105" s="15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395" t="s">
        <v>587</v>
      </c>
      <c r="H105" s="339"/>
      <c r="I105" s="339"/>
      <c r="J105" s="6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308"/>
      <c r="L105" s="68"/>
      <c r="M105" s="68"/>
      <c r="R105" s="68"/>
      <c r="U105" s="309"/>
      <c r="AA105" s="8"/>
      <c r="AB105" s="8"/>
      <c r="AC105" s="8"/>
      <c r="AD105" s="8"/>
      <c r="AE105" s="8"/>
      <c r="AF105" s="63">
        <v>0</v>
      </c>
    </row>
    <row r="106" spans="1:32" s="63" customFormat="1" ht="18.75" customHeight="1">
      <c r="A106" s="1360"/>
      <c r="C106" s="68"/>
      <c r="D106" s="55"/>
      <c r="E106" s="311" t="str">
        <f>FHD_NUM_P_66</f>
        <v>10.1</v>
      </c>
      <c r="F106" s="323" t="str">
        <f>FHD_P_66</f>
        <v xml:space="preserve">По приборам учёта </v>
      </c>
      <c r="G106" s="395" t="s">
        <v>587</v>
      </c>
      <c r="H106" s="339"/>
      <c r="I106" s="339"/>
      <c r="J106" s="67" t="str">
        <f>FHD_NOTE_P_66</f>
        <v/>
      </c>
      <c r="K106" s="308"/>
      <c r="L106" s="68"/>
      <c r="M106" s="68"/>
      <c r="R106" s="68"/>
      <c r="U106" s="309"/>
      <c r="AA106" s="8"/>
      <c r="AB106" s="8"/>
      <c r="AC106" s="8"/>
      <c r="AD106" s="8"/>
      <c r="AE106" s="8"/>
      <c r="AF106" s="63">
        <v>0</v>
      </c>
    </row>
    <row r="107" spans="1:32" s="63" customFormat="1" ht="18.75" customHeight="1">
      <c r="A107" s="1360"/>
      <c r="C107" s="68"/>
      <c r="D107" s="55"/>
      <c r="E107" s="311" t="str">
        <f>FHD_NUM_P_67</f>
        <v>10.1.1</v>
      </c>
      <c r="F107" s="33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395" t="s">
        <v>587</v>
      </c>
      <c r="H107" s="339"/>
      <c r="I107" s="339"/>
      <c r="J107" s="67" t="str">
        <f>FHD_NOTE_P_67</f>
        <v/>
      </c>
      <c r="K107" s="308"/>
      <c r="L107" s="68"/>
      <c r="M107" s="68"/>
      <c r="R107" s="68"/>
      <c r="U107" s="309"/>
      <c r="AA107" s="8"/>
      <c r="AB107" s="8"/>
      <c r="AC107" s="8"/>
      <c r="AD107" s="8"/>
      <c r="AE107" s="8"/>
      <c r="AF107" s="63">
        <v>0</v>
      </c>
    </row>
    <row r="108" spans="1:32" s="63" customFormat="1" ht="18.75" customHeight="1">
      <c r="A108" s="1360"/>
      <c r="C108" s="68"/>
      <c r="D108" s="55"/>
      <c r="E108" s="311" t="str">
        <f>FHD_NUM_P_68</f>
        <v>10.2</v>
      </c>
      <c r="F108" s="323" t="str">
        <f>FHD_P_68</f>
        <v>Расчётным путём</v>
      </c>
      <c r="G108" s="395" t="s">
        <v>587</v>
      </c>
      <c r="H108" s="339"/>
      <c r="I108" s="339"/>
      <c r="J108" s="67" t="str">
        <f>FHD_NOTE_P_68</f>
        <v/>
      </c>
      <c r="K108" s="308"/>
      <c r="L108" s="68"/>
      <c r="M108" s="68"/>
      <c r="R108" s="68"/>
      <c r="U108" s="309"/>
      <c r="AA108" s="8"/>
      <c r="AB108" s="8"/>
      <c r="AC108" s="8"/>
      <c r="AD108" s="8"/>
      <c r="AE108" s="8"/>
      <c r="AF108" s="63">
        <v>0</v>
      </c>
    </row>
    <row r="109" spans="1:32" s="63" customFormat="1" ht="18.75" customHeight="1">
      <c r="A109" s="1360"/>
      <c r="C109" s="68"/>
      <c r="D109" s="55"/>
      <c r="E109" s="311" t="str">
        <f>FHD_NUM_P_69</f>
        <v>10.3</v>
      </c>
      <c r="F109" s="323" t="str">
        <f>FHD_P_69</f>
        <v>По нормативам потребления коммунальных услуг и нормативам потребления коммунальных ресурсов</v>
      </c>
      <c r="G109" s="395" t="s">
        <v>587</v>
      </c>
      <c r="H109" s="339"/>
      <c r="I109" s="339"/>
      <c r="J109" s="67" t="str">
        <f>FHD_NOTE_P_69</f>
        <v/>
      </c>
      <c r="K109" s="308"/>
      <c r="L109" s="68"/>
      <c r="M109" s="68"/>
      <c r="R109" s="68"/>
      <c r="U109" s="309"/>
      <c r="AA109" s="8"/>
      <c r="AB109" s="8"/>
      <c r="AC109" s="8"/>
      <c r="AD109" s="8"/>
      <c r="AE109" s="8"/>
      <c r="AF109" s="63">
        <v>0</v>
      </c>
    </row>
    <row r="110" spans="1:32" s="63" customFormat="1" ht="22.5" customHeight="1">
      <c r="A110" s="1360"/>
      <c r="C110" s="68"/>
      <c r="D110" s="55"/>
      <c r="E110" s="311" t="str">
        <f>FHD_NUM_P_70</f>
        <v>11</v>
      </c>
      <c r="F110" s="153" t="str">
        <f>FHD_P_70</f>
        <v>Нормативы технологических потерь при передаче тепловой энергии, теплоносителя по тепловым сетям, утвержденные уполномоченным органом</v>
      </c>
      <c r="G110" s="395" t="s">
        <v>593</v>
      </c>
      <c r="H110" s="321"/>
      <c r="I110" s="321"/>
      <c r="J110" s="67" t="str">
        <f>FHD_NOTE_P_70</f>
        <v/>
      </c>
      <c r="K110" s="308"/>
      <c r="L110" s="68"/>
      <c r="M110" s="68"/>
      <c r="R110" s="68"/>
      <c r="U110" s="309"/>
      <c r="AA110" s="8"/>
      <c r="AB110" s="8"/>
      <c r="AC110" s="8"/>
      <c r="AD110" s="8"/>
      <c r="AE110" s="8"/>
      <c r="AF110" s="63">
        <v>0</v>
      </c>
    </row>
    <row r="111" spans="1:32" s="63" customFormat="1" ht="22.5" customHeight="1">
      <c r="A111" s="1360"/>
      <c r="C111" s="68"/>
      <c r="D111" s="55"/>
      <c r="E111" s="311" t="str">
        <f>FHD_NUM_P_71</f>
        <v>12</v>
      </c>
      <c r="F111" s="153" t="str">
        <f>FHD_P_71</f>
        <v>Фактический объем потерь при передаче тепловой энергии</v>
      </c>
      <c r="G111" s="395" t="s">
        <v>593</v>
      </c>
      <c r="H111" s="321"/>
      <c r="I111" s="321"/>
      <c r="J111" s="67" t="str">
        <f>FHD_NOTE_P_71</f>
        <v/>
      </c>
      <c r="K111" s="308"/>
      <c r="L111" s="68"/>
      <c r="M111" s="68"/>
      <c r="R111" s="68"/>
      <c r="U111" s="309"/>
      <c r="AA111" s="8"/>
      <c r="AB111" s="8"/>
      <c r="AC111" s="8"/>
      <c r="AD111" s="8"/>
      <c r="AE111" s="8"/>
      <c r="AF111" s="63">
        <v>0</v>
      </c>
    </row>
    <row r="112" spans="1:32" ht="19.899999999999999" customHeight="1">
      <c r="D112" s="55"/>
      <c r="E112" s="311" t="str">
        <f>FHD_NUM_P_72</f>
        <v>13</v>
      </c>
      <c r="F112" s="153" t="str">
        <f>FHD_P_72</f>
        <v>Среднесписочная численность основного производственного персонала</v>
      </c>
      <c r="G112" s="395" t="s">
        <v>594</v>
      </c>
      <c r="H112" s="339"/>
      <c r="I112" s="339"/>
      <c r="J112" s="67" t="str">
        <f>FHD_NOTE_P_72</f>
        <v/>
      </c>
      <c r="K112" s="308"/>
      <c r="AF112" s="11">
        <v>19</v>
      </c>
    </row>
    <row r="113" spans="1:32" ht="18.75" customHeight="1">
      <c r="A113" s="574" t="s">
        <v>595</v>
      </c>
      <c r="D113" s="55"/>
      <c r="E113" s="311" t="str">
        <f>FHD_NUM_P_73</f>
        <v>14</v>
      </c>
      <c r="F113" s="153" t="str">
        <f>FHD_P_73</f>
        <v>Среднесписочная численность административно-управленческого персонала</v>
      </c>
      <c r="G113" s="557" t="s">
        <v>594</v>
      </c>
      <c r="H113" s="556"/>
      <c r="I113" s="556"/>
      <c r="J113" s="67" t="str">
        <f>FHD_NOTE_P_73</f>
        <v/>
      </c>
      <c r="K113" s="308"/>
      <c r="AF113" s="11">
        <v>0</v>
      </c>
    </row>
    <row r="114" spans="1:32" ht="33.75" hidden="1" customHeight="1">
      <c r="A114" s="574" t="s">
        <v>596</v>
      </c>
      <c r="D114" s="55"/>
      <c r="E114" s="311" t="str">
        <f>FHD_NUM_P_74</f>
        <v/>
      </c>
      <c r="F114" s="153" t="str">
        <f>FHD_P_74</f>
        <v/>
      </c>
      <c r="G114" s="395" t="s">
        <v>597</v>
      </c>
      <c r="H114" s="339"/>
      <c r="I114" s="339"/>
      <c r="J114" s="67" t="str">
        <f>FHD_NOTE_P_74</f>
        <v/>
      </c>
      <c r="K114" s="308"/>
      <c r="AF114" s="11">
        <v>0</v>
      </c>
    </row>
    <row r="115" spans="1:32" s="11" customFormat="1" ht="18.75" hidden="1" customHeight="1">
      <c r="A115" s="1360" t="s">
        <v>598</v>
      </c>
      <c r="B115" s="63"/>
      <c r="C115" s="68"/>
      <c r="D115" s="55"/>
      <c r="E115" s="311" t="str">
        <f>FHD_NUM_P_75</f>
        <v/>
      </c>
      <c r="F115" s="153" t="str">
        <f>FHD_P_75</f>
        <v/>
      </c>
      <c r="G115" s="395" t="s">
        <v>562</v>
      </c>
      <c r="H115" s="321"/>
      <c r="I115" s="321"/>
      <c r="J115" s="67" t="str">
        <f>FHD_NOTE_P_75</f>
        <v/>
      </c>
      <c r="K115" s="308"/>
      <c r="L115" s="68"/>
      <c r="M115" s="68"/>
      <c r="N115" s="63"/>
      <c r="O115" s="63"/>
      <c r="P115" s="63"/>
      <c r="Q115" s="63"/>
      <c r="R115" s="68"/>
      <c r="S115" s="63"/>
      <c r="T115" s="63"/>
      <c r="U115" s="309"/>
      <c r="V115" s="63"/>
      <c r="W115" s="63"/>
      <c r="X115" s="63"/>
      <c r="Y115" s="63"/>
      <c r="Z115" s="63"/>
      <c r="AA115" s="8"/>
      <c r="AB115" s="8"/>
      <c r="AC115" s="8"/>
      <c r="AD115" s="8"/>
      <c r="AE115" s="8"/>
      <c r="AF115" s="11">
        <v>0</v>
      </c>
    </row>
    <row r="116" spans="1:32" s="11" customFormat="1" ht="18.75" hidden="1" customHeight="1">
      <c r="A116" s="1360"/>
      <c r="B116" s="63"/>
      <c r="C116" s="68"/>
      <c r="D116" s="55"/>
      <c r="E116" s="311" t="str">
        <f>FHD_NUM_P_76</f>
        <v/>
      </c>
      <c r="F116" s="153" t="str">
        <f>FHD_P_76</f>
        <v/>
      </c>
      <c r="G116" s="395" t="s">
        <v>562</v>
      </c>
      <c r="H116" s="321"/>
      <c r="I116" s="321"/>
      <c r="J116" s="67" t="str">
        <f>FHD_NOTE_P_76</f>
        <v/>
      </c>
      <c r="K116" s="308"/>
      <c r="L116" s="68"/>
      <c r="M116" s="68"/>
      <c r="N116" s="63"/>
      <c r="O116" s="63"/>
      <c r="P116" s="63"/>
      <c r="Q116" s="63"/>
      <c r="R116" s="68"/>
      <c r="S116" s="63"/>
      <c r="T116" s="63"/>
      <c r="U116" s="309"/>
      <c r="V116" s="63"/>
      <c r="W116" s="63"/>
      <c r="X116" s="63"/>
      <c r="Y116" s="63"/>
      <c r="Z116" s="63"/>
      <c r="AA116" s="8"/>
      <c r="AB116" s="8"/>
      <c r="AC116" s="8"/>
      <c r="AD116" s="8"/>
      <c r="AE116" s="8"/>
      <c r="AF116" s="11">
        <v>0</v>
      </c>
    </row>
    <row r="117" spans="1:32" s="11" customFormat="1" ht="18.75" hidden="1" customHeight="1">
      <c r="A117" s="1360"/>
      <c r="B117" s="63"/>
      <c r="C117" s="68"/>
      <c r="D117" s="55"/>
      <c r="E117" s="311" t="str">
        <f>FHD_NUM_P_77</f>
        <v/>
      </c>
      <c r="F117" s="153" t="str">
        <f>FHD_P_77</f>
        <v/>
      </c>
      <c r="G117" s="395" t="s">
        <v>562</v>
      </c>
      <c r="H117" s="321"/>
      <c r="I117" s="321"/>
      <c r="J117" s="67" t="str">
        <f>FHD_NOTE_P_77</f>
        <v/>
      </c>
      <c r="K117" s="308"/>
      <c r="L117" s="68"/>
      <c r="M117" s="68"/>
      <c r="N117" s="63"/>
      <c r="O117" s="63"/>
      <c r="P117" s="63"/>
      <c r="Q117" s="63"/>
      <c r="R117" s="68"/>
      <c r="S117" s="63"/>
      <c r="T117" s="63"/>
      <c r="U117" s="309"/>
      <c r="V117" s="63"/>
      <c r="W117" s="63"/>
      <c r="X117" s="63"/>
      <c r="Y117" s="63"/>
      <c r="Z117" s="63"/>
      <c r="AA117" s="8"/>
      <c r="AB117" s="8"/>
      <c r="AC117" s="8"/>
      <c r="AD117" s="8"/>
      <c r="AE117" s="8"/>
      <c r="AF117" s="11">
        <v>0</v>
      </c>
    </row>
    <row r="118" spans="1:32" s="68" customFormat="1" ht="0.75" hidden="1" customHeight="1">
      <c r="A118" s="1360"/>
      <c r="D118" s="313"/>
      <c r="E118" s="316" t="str">
        <f>E117&amp;".0"</f>
        <v>.0</v>
      </c>
      <c r="F118" s="582"/>
      <c r="G118" s="895"/>
      <c r="H118" s="577"/>
      <c r="I118" s="577"/>
      <c r="J118" s="581"/>
      <c r="AF118" s="68">
        <v>0</v>
      </c>
    </row>
    <row r="119" spans="1:32" s="11" customFormat="1" ht="15" hidden="1" customHeight="1">
      <c r="A119" s="1360"/>
      <c r="B119" s="63"/>
      <c r="C119" s="68"/>
      <c r="D119" s="77"/>
      <c r="E119" s="558"/>
      <c r="F119" s="559" t="s">
        <v>599</v>
      </c>
      <c r="G119" s="334"/>
      <c r="H119" s="335"/>
      <c r="I119" s="335"/>
      <c r="J119" s="199" t="s">
        <v>600</v>
      </c>
      <c r="K119" s="308"/>
      <c r="L119" s="68"/>
      <c r="M119" s="68"/>
      <c r="N119" s="63"/>
      <c r="O119" s="63"/>
      <c r="P119" s="63"/>
      <c r="Q119" s="63"/>
      <c r="R119" s="68"/>
      <c r="S119" s="63"/>
      <c r="T119" s="63"/>
      <c r="U119" s="309"/>
      <c r="V119" s="63"/>
      <c r="W119" s="63"/>
      <c r="X119" s="63"/>
      <c r="Y119" s="63"/>
      <c r="Z119" s="63"/>
      <c r="AA119" s="8"/>
      <c r="AB119" s="8"/>
      <c r="AC119" s="8"/>
      <c r="AD119" s="8"/>
      <c r="AE119" s="8"/>
      <c r="AF119" s="11">
        <v>0</v>
      </c>
    </row>
    <row r="120" spans="1:32" ht="22.5" customHeight="1">
      <c r="A120" s="1360" t="s">
        <v>601</v>
      </c>
      <c r="D120" s="55"/>
      <c r="E120" s="311" t="str">
        <f>FHD_NUM_P_78</f>
        <v>15</v>
      </c>
      <c r="F120" s="15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395" t="s">
        <v>564</v>
      </c>
      <c r="H120" s="339"/>
      <c r="I120" s="339"/>
      <c r="J120" s="67" t="str">
        <f>FHD_NOTE_P_78</f>
        <v/>
      </c>
      <c r="K120" s="308"/>
      <c r="AF120" s="11">
        <v>0</v>
      </c>
    </row>
    <row r="121" spans="1:32" s="68" customFormat="1" ht="0.75" customHeight="1">
      <c r="A121" s="1360"/>
      <c r="D121" s="313"/>
      <c r="E121" s="316" t="str">
        <f>E120&amp;".0"</f>
        <v>15.0</v>
      </c>
      <c r="F121" s="582"/>
      <c r="G121" s="895"/>
      <c r="H121" s="577"/>
      <c r="I121" s="577"/>
      <c r="J121" s="581"/>
      <c r="AF121" s="68">
        <v>0</v>
      </c>
    </row>
    <row r="122" spans="1:32" ht="15" customHeight="1">
      <c r="A122" s="1360"/>
      <c r="D122" s="77"/>
      <c r="E122" s="333"/>
      <c r="F122" s="110" t="s">
        <v>590</v>
      </c>
      <c r="G122" s="334"/>
      <c r="H122" s="335"/>
      <c r="I122" s="335"/>
      <c r="J122" s="199" t="s">
        <v>602</v>
      </c>
      <c r="K122" s="308"/>
      <c r="AF122" s="11">
        <v>0</v>
      </c>
    </row>
    <row r="123" spans="1:32" ht="22.5" customHeight="1">
      <c r="A123" s="1360"/>
      <c r="D123" s="55"/>
      <c r="E123" s="311" t="str">
        <f>FHD_NUM_P_79</f>
        <v>16</v>
      </c>
      <c r="F123" s="15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41" t="s">
        <v>566</v>
      </c>
      <c r="H123" s="339"/>
      <c r="I123" s="339"/>
      <c r="J123" s="6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308"/>
      <c r="AF123" s="11">
        <v>0</v>
      </c>
    </row>
    <row r="124" spans="1:32" s="68" customFormat="1" ht="0.75" customHeight="1">
      <c r="A124" s="1360"/>
      <c r="D124" s="313"/>
      <c r="E124" s="316" t="str">
        <f>E123&amp;".0"</f>
        <v>16.0</v>
      </c>
      <c r="F124" s="583"/>
      <c r="G124" s="895"/>
      <c r="H124" s="577"/>
      <c r="I124" s="577"/>
      <c r="J124" s="581"/>
      <c r="AF124" s="68">
        <v>0</v>
      </c>
    </row>
    <row r="125" spans="1:32" ht="15" customHeight="1">
      <c r="A125" s="1360"/>
      <c r="D125" s="77"/>
      <c r="E125" s="333"/>
      <c r="F125" s="110" t="s">
        <v>590</v>
      </c>
      <c r="G125" s="334"/>
      <c r="H125" s="335"/>
      <c r="I125" s="335"/>
      <c r="J125" s="199" t="s">
        <v>603</v>
      </c>
      <c r="K125" s="308"/>
      <c r="AF125" s="11">
        <v>0</v>
      </c>
    </row>
    <row r="126" spans="1:32" ht="22.5" customHeight="1">
      <c r="A126" s="1360"/>
      <c r="D126" s="55"/>
      <c r="E126" s="311" t="str">
        <f>FHD_NUM_P_80</f>
        <v>17</v>
      </c>
      <c r="F126" s="15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41" t="s">
        <v>604</v>
      </c>
      <c r="H126" s="321"/>
      <c r="I126" s="321"/>
      <c r="J126" s="67" t="str">
        <f>FHD_NOTE_P_80</f>
        <v>Регулируемыми организациями указывается информация с по договорам, заключенным в рамках осуществления регулируемой деятельности.</v>
      </c>
      <c r="K126" s="308"/>
      <c r="AF126" s="11">
        <v>0</v>
      </c>
    </row>
    <row r="127" spans="1:32" ht="18.75" customHeight="1">
      <c r="A127" s="1360"/>
      <c r="D127" s="55"/>
      <c r="E127" s="311" t="str">
        <f>FHD_NUM_P_81</f>
        <v>18</v>
      </c>
      <c r="F127" s="15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41" t="s">
        <v>605</v>
      </c>
      <c r="H127" s="321"/>
      <c r="I127" s="321"/>
      <c r="J127" s="67" t="str">
        <f>FHD_NOTE_P_81</f>
        <v>Регулируемыми организациями указывается информация с по договорам, заключенным в рамках осуществления регулируемой деятельности.</v>
      </c>
      <c r="K127" s="308"/>
      <c r="AF127" s="11">
        <v>0</v>
      </c>
    </row>
    <row r="128" spans="1:32" ht="18.75" customHeight="1">
      <c r="A128" s="1360"/>
      <c r="C128" s="68" t="s">
        <v>592</v>
      </c>
      <c r="D128" s="55"/>
      <c r="E128" s="311" t="str">
        <f>FHD_NUM_P_82</f>
        <v>19</v>
      </c>
      <c r="F128" s="15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41" t="s">
        <v>310</v>
      </c>
      <c r="H128" s="228"/>
      <c r="I128" s="228"/>
      <c r="J128" s="67" t="str">
        <f>FHD_NOTE_P_82</f>
        <v>Указывается ссылка на документ, предварительно загруженный в хранилище файлов ФГИС ЕИАС.</v>
      </c>
      <c r="K128" s="308"/>
      <c r="AF128" s="11">
        <v>0</v>
      </c>
    </row>
    <row r="129" spans="1:32" ht="18.75" customHeight="1">
      <c r="A129" s="1360"/>
      <c r="C129" s="68" t="s">
        <v>592</v>
      </c>
      <c r="D129" s="55"/>
      <c r="E129" s="311" t="str">
        <f>FHD_NUM_P_83</f>
        <v>19.1</v>
      </c>
      <c r="F129" s="323" t="str">
        <f>FHD_P_83</f>
        <v>Информация о показателях физического износа объектов теплоснабжения</v>
      </c>
      <c r="G129" s="41" t="s">
        <v>310</v>
      </c>
      <c r="H129" s="228"/>
      <c r="I129" s="228"/>
      <c r="J129" s="67" t="str">
        <f>FHD_NOTE_P_83</f>
        <v>Указывается ссылка на документ, предварительно загруженный в хранилище файлов ФГИС ЕИАС.</v>
      </c>
      <c r="K129" s="308"/>
      <c r="AF129" s="11">
        <v>0</v>
      </c>
    </row>
    <row r="130" spans="1:32" ht="18.75" customHeight="1">
      <c r="A130" s="1360"/>
      <c r="C130" s="68" t="s">
        <v>592</v>
      </c>
      <c r="D130" s="55"/>
      <c r="E130" s="311" t="str">
        <f>FHD_NUM_P_84</f>
        <v>19.2</v>
      </c>
      <c r="F130" s="323" t="str">
        <f>FHD_P_84</f>
        <v>Информация о показателях энергетической эффективности объектов теплоснабжения</v>
      </c>
      <c r="G130" s="41" t="s">
        <v>310</v>
      </c>
      <c r="H130" s="228"/>
      <c r="I130" s="228"/>
      <c r="J130" s="67" t="str">
        <f>FHD_NOTE_P_84</f>
        <v>Указывается ссылка на документ, предварительно загруженный в хранилище файлов ФГИС ЕИАС.</v>
      </c>
      <c r="K130" s="308"/>
      <c r="AF130" s="11">
        <v>0</v>
      </c>
    </row>
    <row r="131" spans="1:32" ht="11.45" customHeight="1">
      <c r="D131" s="55"/>
      <c r="AF131" s="11">
        <v>11</v>
      </c>
    </row>
    <row r="132" spans="1:32" ht="13.5" customHeight="1">
      <c r="D132" s="55"/>
      <c r="E132" s="198"/>
      <c r="F132" s="4"/>
      <c r="G132" s="4"/>
      <c r="H132" s="4"/>
      <c r="I132" s="373"/>
      <c r="J132" s="342"/>
      <c r="AF132" s="11">
        <v>13</v>
      </c>
    </row>
    <row r="133" spans="1:32" s="203" customFormat="1" ht="11.45" customHeight="1">
      <c r="A133" s="572"/>
      <c r="B133" s="68"/>
      <c r="C133" s="68"/>
      <c r="F133" s="125"/>
      <c r="G133" s="11"/>
      <c r="H133" s="11"/>
      <c r="I133" s="11"/>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H136" s="142" t="str">
        <f>IF(H30-H31&lt;&gt;H72,"WARNING","")</f>
        <v/>
      </c>
      <c r="I136" s="142" t="str">
        <f>IF(I30-I31&lt;&gt;I72,"WARNING","")</f>
        <v/>
      </c>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4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4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4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4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4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4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4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s="203" customFormat="1" ht="11.45" customHeight="1">
      <c r="A203" s="572"/>
      <c r="B203" s="68"/>
      <c r="C203" s="68"/>
      <c r="K203" s="63"/>
      <c r="L203" s="68"/>
      <c r="M203" s="68"/>
      <c r="N203" s="63"/>
      <c r="O203" s="63"/>
      <c r="P203" s="63"/>
      <c r="Q203" s="63"/>
      <c r="R203" s="68"/>
      <c r="S203" s="63"/>
      <c r="T203" s="63"/>
      <c r="U203" s="309"/>
      <c r="V203" s="63"/>
      <c r="W203" s="63"/>
      <c r="X203" s="63"/>
      <c r="Y203" s="63"/>
      <c r="Z203" s="63"/>
      <c r="AA203" s="8"/>
      <c r="AB203" s="142"/>
      <c r="AC203" s="142"/>
      <c r="AD203" s="142"/>
      <c r="AE203" s="142"/>
      <c r="AF203" s="203">
        <v>11</v>
      </c>
    </row>
    <row r="204" spans="1:32" s="203" customFormat="1" ht="11.45" customHeight="1">
      <c r="A204" s="572"/>
      <c r="B204" s="68"/>
      <c r="C204" s="68"/>
      <c r="K204" s="63"/>
      <c r="L204" s="68"/>
      <c r="M204" s="68"/>
      <c r="N204" s="63"/>
      <c r="O204" s="63"/>
      <c r="P204" s="63"/>
      <c r="Q204" s="63"/>
      <c r="R204" s="68"/>
      <c r="S204" s="63"/>
      <c r="T204" s="63"/>
      <c r="U204" s="309"/>
      <c r="V204" s="63"/>
      <c r="W204" s="63"/>
      <c r="X204" s="63"/>
      <c r="Y204" s="63"/>
      <c r="Z204" s="63"/>
      <c r="AA204" s="8"/>
      <c r="AB204" s="142"/>
      <c r="AC204" s="142"/>
      <c r="AD204" s="142"/>
      <c r="AE204" s="142"/>
      <c r="AF204" s="203">
        <v>11</v>
      </c>
    </row>
    <row r="205" spans="1:32" s="203" customFormat="1" ht="11.45" customHeight="1">
      <c r="A205" s="572"/>
      <c r="B205" s="68"/>
      <c r="C205" s="68"/>
      <c r="K205" s="63"/>
      <c r="L205" s="68"/>
      <c r="M205" s="68"/>
      <c r="N205" s="63"/>
      <c r="O205" s="63"/>
      <c r="P205" s="63"/>
      <c r="Q205" s="63"/>
      <c r="R205" s="68"/>
      <c r="S205" s="63"/>
      <c r="T205" s="63"/>
      <c r="U205" s="309"/>
      <c r="V205" s="63"/>
      <c r="W205" s="63"/>
      <c r="X205" s="63"/>
      <c r="Y205" s="63"/>
      <c r="Z205" s="63"/>
      <c r="AA205" s="8"/>
      <c r="AB205" s="142"/>
      <c r="AC205" s="142"/>
      <c r="AD205" s="142"/>
      <c r="AE205" s="142"/>
      <c r="AF205" s="203">
        <v>11</v>
      </c>
    </row>
    <row r="206" spans="1:32" s="203" customFormat="1" ht="11.45" customHeight="1">
      <c r="A206" s="572"/>
      <c r="B206" s="68"/>
      <c r="C206" s="68"/>
      <c r="K206" s="63"/>
      <c r="L206" s="68"/>
      <c r="M206" s="68"/>
      <c r="N206" s="63"/>
      <c r="O206" s="63"/>
      <c r="P206" s="63"/>
      <c r="Q206" s="63"/>
      <c r="R206" s="68"/>
      <c r="S206" s="63"/>
      <c r="T206" s="63"/>
      <c r="U206" s="309"/>
      <c r="V206" s="63"/>
      <c r="W206" s="63"/>
      <c r="X206" s="63"/>
      <c r="Y206" s="63"/>
      <c r="Z206" s="63"/>
      <c r="AA206" s="8"/>
      <c r="AB206" s="142"/>
      <c r="AC206" s="142"/>
      <c r="AD206" s="142"/>
      <c r="AE206" s="142"/>
      <c r="AF206" s="203">
        <v>11</v>
      </c>
    </row>
    <row r="207" spans="1:32" s="203" customFormat="1" ht="11.45" customHeight="1">
      <c r="A207" s="572"/>
      <c r="B207" s="68"/>
      <c r="C207" s="68"/>
      <c r="K207" s="63"/>
      <c r="L207" s="68"/>
      <c r="M207" s="68"/>
      <c r="N207" s="63"/>
      <c r="O207" s="63"/>
      <c r="P207" s="63"/>
      <c r="Q207" s="63"/>
      <c r="R207" s="68"/>
      <c r="S207" s="63"/>
      <c r="T207" s="63"/>
      <c r="U207" s="309"/>
      <c r="V207" s="63"/>
      <c r="W207" s="63"/>
      <c r="X207" s="63"/>
      <c r="Y207" s="63"/>
      <c r="Z207" s="63"/>
      <c r="AA207" s="8"/>
      <c r="AB207" s="142"/>
      <c r="AC207" s="142"/>
      <c r="AD207" s="142"/>
      <c r="AE207" s="142"/>
      <c r="AF207" s="203">
        <v>11</v>
      </c>
    </row>
    <row r="208" spans="1:32" s="203" customFormat="1" ht="11.45" customHeight="1">
      <c r="A208" s="572"/>
      <c r="B208" s="68"/>
      <c r="C208" s="68"/>
      <c r="K208" s="63"/>
      <c r="L208" s="68"/>
      <c r="M208" s="68"/>
      <c r="N208" s="63"/>
      <c r="O208" s="63"/>
      <c r="P208" s="63"/>
      <c r="Q208" s="63"/>
      <c r="R208" s="68"/>
      <c r="S208" s="63"/>
      <c r="T208" s="63"/>
      <c r="U208" s="309"/>
      <c r="V208" s="63"/>
      <c r="W208" s="63"/>
      <c r="X208" s="63"/>
      <c r="Y208" s="63"/>
      <c r="Z208" s="63"/>
      <c r="AA208" s="8"/>
      <c r="AB208" s="142"/>
      <c r="AC208" s="142"/>
      <c r="AD208" s="142"/>
      <c r="AE208" s="142"/>
      <c r="AF208" s="203">
        <v>11</v>
      </c>
    </row>
    <row r="209" spans="1:32" s="203" customFormat="1" ht="11.45" customHeight="1">
      <c r="A209" s="572"/>
      <c r="B209" s="68"/>
      <c r="C209" s="68"/>
      <c r="K209" s="63"/>
      <c r="L209" s="68"/>
      <c r="M209" s="68"/>
      <c r="N209" s="63"/>
      <c r="O209" s="63"/>
      <c r="P209" s="63"/>
      <c r="Q209" s="63"/>
      <c r="R209" s="68"/>
      <c r="S209" s="63"/>
      <c r="T209" s="63"/>
      <c r="U209" s="309"/>
      <c r="V209" s="63"/>
      <c r="W209" s="63"/>
      <c r="X209" s="63"/>
      <c r="Y209" s="63"/>
      <c r="Z209" s="63"/>
      <c r="AA209" s="8"/>
      <c r="AB209" s="142"/>
      <c r="AC209" s="142"/>
      <c r="AD209" s="142"/>
      <c r="AE209" s="142"/>
      <c r="AF209" s="203">
        <v>11</v>
      </c>
    </row>
    <row r="210" spans="1:32" s="203" customFormat="1" ht="11.45" customHeight="1">
      <c r="A210" s="572"/>
      <c r="B210" s="68"/>
      <c r="C210" s="68"/>
      <c r="K210" s="63"/>
      <c r="L210" s="68"/>
      <c r="M210" s="68"/>
      <c r="N210" s="63"/>
      <c r="O210" s="63"/>
      <c r="P210" s="63"/>
      <c r="Q210" s="63"/>
      <c r="R210" s="68"/>
      <c r="S210" s="63"/>
      <c r="T210" s="63"/>
      <c r="U210" s="309"/>
      <c r="V210" s="63"/>
      <c r="W210" s="63"/>
      <c r="X210" s="63"/>
      <c r="Y210" s="63"/>
      <c r="Z210" s="63"/>
      <c r="AA210" s="8"/>
      <c r="AB210" s="142"/>
      <c r="AC210" s="142"/>
      <c r="AD210" s="142"/>
      <c r="AE210" s="142"/>
      <c r="AF210" s="203">
        <v>11</v>
      </c>
    </row>
    <row r="211" spans="1:32" s="203" customFormat="1" ht="11.45" customHeight="1">
      <c r="A211" s="572"/>
      <c r="B211" s="68"/>
      <c r="C211" s="68"/>
      <c r="K211" s="63"/>
      <c r="L211" s="68"/>
      <c r="M211" s="68"/>
      <c r="N211" s="63"/>
      <c r="O211" s="63"/>
      <c r="P211" s="63"/>
      <c r="Q211" s="63"/>
      <c r="R211" s="68"/>
      <c r="S211" s="63"/>
      <c r="T211" s="63"/>
      <c r="U211" s="309"/>
      <c r="V211" s="63"/>
      <c r="W211" s="63"/>
      <c r="X211" s="63"/>
      <c r="Y211" s="63"/>
      <c r="Z211" s="63"/>
      <c r="AA211" s="8"/>
      <c r="AB211" s="142"/>
      <c r="AC211" s="142"/>
      <c r="AD211" s="142"/>
      <c r="AE211" s="142"/>
      <c r="AF211" s="203">
        <v>11</v>
      </c>
    </row>
    <row r="212" spans="1:32" s="203" customFormat="1" ht="11.45" customHeight="1">
      <c r="A212" s="572"/>
      <c r="B212" s="68"/>
      <c r="C212" s="68"/>
      <c r="K212" s="63"/>
      <c r="L212" s="68"/>
      <c r="M212" s="68"/>
      <c r="N212" s="63"/>
      <c r="O212" s="63"/>
      <c r="P212" s="63"/>
      <c r="Q212" s="63"/>
      <c r="R212" s="68"/>
      <c r="S212" s="63"/>
      <c r="T212" s="63"/>
      <c r="U212" s="309"/>
      <c r="V212" s="63"/>
      <c r="W212" s="63"/>
      <c r="X212" s="63"/>
      <c r="Y212" s="63"/>
      <c r="Z212" s="63"/>
      <c r="AA212" s="8"/>
      <c r="AB212" s="142"/>
      <c r="AC212" s="142"/>
      <c r="AD212" s="142"/>
      <c r="AE212" s="142"/>
      <c r="AF212" s="203">
        <v>11</v>
      </c>
    </row>
    <row r="213" spans="1:32" s="203" customFormat="1" ht="11.45" customHeight="1">
      <c r="A213" s="572"/>
      <c r="B213" s="68"/>
      <c r="C213" s="68"/>
      <c r="K213" s="63"/>
      <c r="L213" s="68"/>
      <c r="M213" s="68"/>
      <c r="N213" s="63"/>
      <c r="O213" s="63"/>
      <c r="P213" s="63"/>
      <c r="Q213" s="63"/>
      <c r="R213" s="68"/>
      <c r="S213" s="63"/>
      <c r="T213" s="63"/>
      <c r="U213" s="309"/>
      <c r="V213" s="63"/>
      <c r="W213" s="63"/>
      <c r="X213" s="63"/>
      <c r="Y213" s="63"/>
      <c r="Z213" s="63"/>
      <c r="AA213" s="8"/>
      <c r="AB213" s="142"/>
      <c r="AC213" s="142"/>
      <c r="AD213" s="142"/>
      <c r="AE213" s="142"/>
      <c r="AF213" s="203">
        <v>11</v>
      </c>
    </row>
    <row r="214" spans="1:32" s="203" customFormat="1" ht="11.45" customHeight="1">
      <c r="A214" s="572"/>
      <c r="B214" s="68"/>
      <c r="C214" s="68"/>
      <c r="K214" s="63"/>
      <c r="L214" s="68"/>
      <c r="M214" s="68"/>
      <c r="N214" s="63"/>
      <c r="O214" s="63"/>
      <c r="P214" s="63"/>
      <c r="Q214" s="63"/>
      <c r="R214" s="68"/>
      <c r="S214" s="63"/>
      <c r="T214" s="63"/>
      <c r="U214" s="309"/>
      <c r="V214" s="63"/>
      <c r="W214" s="63"/>
      <c r="X214" s="63"/>
      <c r="Y214" s="63"/>
      <c r="Z214" s="63"/>
      <c r="AA214" s="8"/>
      <c r="AB214" s="142"/>
      <c r="AC214" s="142"/>
      <c r="AD214" s="142"/>
      <c r="AE214" s="142"/>
      <c r="AF214" s="203">
        <v>11</v>
      </c>
    </row>
    <row r="215" spans="1:32" s="203" customFormat="1" ht="11.45" customHeight="1">
      <c r="A215" s="572"/>
      <c r="B215" s="68"/>
      <c r="C215" s="68"/>
      <c r="K215" s="63"/>
      <c r="L215" s="68"/>
      <c r="M215" s="68"/>
      <c r="N215" s="63"/>
      <c r="O215" s="63"/>
      <c r="P215" s="63"/>
      <c r="Q215" s="63"/>
      <c r="R215" s="68"/>
      <c r="S215" s="63"/>
      <c r="T215" s="63"/>
      <c r="U215" s="309"/>
      <c r="V215" s="63"/>
      <c r="W215" s="63"/>
      <c r="X215" s="63"/>
      <c r="Y215" s="63"/>
      <c r="Z215" s="63"/>
      <c r="AA215" s="8"/>
      <c r="AB215" s="142"/>
      <c r="AC215" s="142"/>
      <c r="AD215" s="142"/>
      <c r="AE215" s="142"/>
      <c r="AF215" s="203">
        <v>11</v>
      </c>
    </row>
    <row r="216" spans="1:32" s="203" customFormat="1" ht="11.45" customHeight="1">
      <c r="A216" s="572"/>
      <c r="B216" s="68"/>
      <c r="C216" s="68"/>
      <c r="K216" s="63"/>
      <c r="L216" s="68"/>
      <c r="M216" s="68"/>
      <c r="N216" s="63"/>
      <c r="O216" s="63"/>
      <c r="P216" s="63"/>
      <c r="Q216" s="63"/>
      <c r="R216" s="68"/>
      <c r="S216" s="63"/>
      <c r="T216" s="63"/>
      <c r="U216" s="309"/>
      <c r="V216" s="63"/>
      <c r="W216" s="63"/>
      <c r="X216" s="63"/>
      <c r="Y216" s="63"/>
      <c r="Z216" s="63"/>
      <c r="AA216" s="8"/>
      <c r="AB216" s="142"/>
      <c r="AC216" s="142"/>
      <c r="AD216" s="142"/>
      <c r="AE216" s="142"/>
      <c r="AF216" s="203">
        <v>11</v>
      </c>
    </row>
    <row r="217" spans="1:32" s="203" customFormat="1" ht="11.45" customHeight="1">
      <c r="A217" s="572"/>
      <c r="B217" s="68"/>
      <c r="C217" s="68"/>
      <c r="K217" s="63"/>
      <c r="L217" s="68"/>
      <c r="M217" s="68"/>
      <c r="N217" s="63"/>
      <c r="O217" s="63"/>
      <c r="P217" s="63"/>
      <c r="Q217" s="63"/>
      <c r="R217" s="68"/>
      <c r="S217" s="63"/>
      <c r="T217" s="63"/>
      <c r="U217" s="309"/>
      <c r="V217" s="63"/>
      <c r="W217" s="63"/>
      <c r="X217" s="63"/>
      <c r="Y217" s="63"/>
      <c r="Z217" s="63"/>
      <c r="AA217" s="8"/>
      <c r="AB217" s="142"/>
      <c r="AC217" s="142"/>
      <c r="AD217" s="142"/>
      <c r="AE217" s="142"/>
      <c r="AF217" s="203">
        <v>11</v>
      </c>
    </row>
    <row r="218" spans="1:32" s="203" customFormat="1" ht="11.45" customHeight="1">
      <c r="A218" s="572"/>
      <c r="B218" s="68"/>
      <c r="C218" s="68"/>
      <c r="K218" s="63"/>
      <c r="L218" s="68"/>
      <c r="M218" s="68"/>
      <c r="N218" s="63"/>
      <c r="O218" s="63"/>
      <c r="P218" s="63"/>
      <c r="Q218" s="63"/>
      <c r="R218" s="68"/>
      <c r="S218" s="63"/>
      <c r="T218" s="63"/>
      <c r="U218" s="309"/>
      <c r="V218" s="63"/>
      <c r="W218" s="63"/>
      <c r="X218" s="63"/>
      <c r="Y218" s="63"/>
      <c r="Z218" s="63"/>
      <c r="AA218" s="8"/>
      <c r="AB218" s="142"/>
      <c r="AC218" s="142"/>
      <c r="AD218" s="142"/>
      <c r="AE218" s="142"/>
      <c r="AF218" s="203">
        <v>11</v>
      </c>
    </row>
    <row r="219" spans="1:32" s="203" customFormat="1" ht="11.45" customHeight="1">
      <c r="A219" s="572"/>
      <c r="B219" s="68"/>
      <c r="C219" s="68"/>
      <c r="K219" s="63"/>
      <c r="L219" s="68"/>
      <c r="M219" s="68"/>
      <c r="N219" s="63"/>
      <c r="O219" s="63"/>
      <c r="P219" s="63"/>
      <c r="Q219" s="63"/>
      <c r="R219" s="68"/>
      <c r="S219" s="63"/>
      <c r="T219" s="63"/>
      <c r="U219" s="309"/>
      <c r="V219" s="63"/>
      <c r="W219" s="63"/>
      <c r="X219" s="63"/>
      <c r="Y219" s="63"/>
      <c r="Z219" s="63"/>
      <c r="AA219" s="8"/>
      <c r="AB219" s="142"/>
      <c r="AC219" s="142"/>
      <c r="AD219" s="142"/>
      <c r="AE219" s="142"/>
      <c r="AF219" s="203">
        <v>11</v>
      </c>
    </row>
    <row r="220" spans="1:32" s="203" customFormat="1" ht="11.45" customHeight="1">
      <c r="A220" s="572"/>
      <c r="B220" s="68"/>
      <c r="C220" s="68"/>
      <c r="K220" s="63"/>
      <c r="L220" s="68"/>
      <c r="M220" s="68"/>
      <c r="N220" s="63"/>
      <c r="O220" s="63"/>
      <c r="P220" s="63"/>
      <c r="Q220" s="63"/>
      <c r="R220" s="68"/>
      <c r="S220" s="63"/>
      <c r="T220" s="63"/>
      <c r="U220" s="309"/>
      <c r="V220" s="63"/>
      <c r="W220" s="63"/>
      <c r="X220" s="63"/>
      <c r="Y220" s="63"/>
      <c r="Z220" s="63"/>
      <c r="AA220" s="8"/>
      <c r="AB220" s="142"/>
      <c r="AC220" s="142"/>
      <c r="AD220" s="142"/>
      <c r="AE220" s="142"/>
      <c r="AF220" s="203">
        <v>11</v>
      </c>
    </row>
    <row r="221" spans="1:32" s="203" customFormat="1" ht="11.45" customHeight="1">
      <c r="A221" s="572"/>
      <c r="B221" s="68"/>
      <c r="C221" s="68"/>
      <c r="K221" s="63"/>
      <c r="L221" s="68"/>
      <c r="M221" s="68"/>
      <c r="N221" s="63"/>
      <c r="O221" s="63"/>
      <c r="P221" s="63"/>
      <c r="Q221" s="63"/>
      <c r="R221" s="68"/>
      <c r="S221" s="63"/>
      <c r="T221" s="63"/>
      <c r="U221" s="309"/>
      <c r="V221" s="63"/>
      <c r="W221" s="63"/>
      <c r="X221" s="63"/>
      <c r="Y221" s="63"/>
      <c r="Z221" s="63"/>
      <c r="AA221" s="8"/>
      <c r="AB221" s="142"/>
      <c r="AC221" s="142"/>
      <c r="AD221" s="142"/>
      <c r="AE221" s="142"/>
      <c r="AF221" s="203">
        <v>11</v>
      </c>
    </row>
    <row r="222" spans="1:32" s="203" customFormat="1" ht="11.45" customHeight="1">
      <c r="A222" s="572"/>
      <c r="B222" s="68"/>
      <c r="C222" s="68"/>
      <c r="K222" s="63"/>
      <c r="L222" s="68"/>
      <c r="M222" s="68"/>
      <c r="N222" s="63"/>
      <c r="O222" s="63"/>
      <c r="P222" s="63"/>
      <c r="Q222" s="63"/>
      <c r="R222" s="68"/>
      <c r="S222" s="63"/>
      <c r="T222" s="63"/>
      <c r="U222" s="309"/>
      <c r="V222" s="63"/>
      <c r="W222" s="63"/>
      <c r="X222" s="63"/>
      <c r="Y222" s="63"/>
      <c r="Z222" s="63"/>
      <c r="AA222" s="8"/>
      <c r="AB222" s="142"/>
      <c r="AC222" s="142"/>
      <c r="AD222" s="142"/>
      <c r="AE222" s="142"/>
      <c r="AF222" s="203">
        <v>11</v>
      </c>
    </row>
    <row r="223" spans="1:32" s="203" customFormat="1" ht="11.45" customHeight="1">
      <c r="A223" s="572"/>
      <c r="B223" s="68"/>
      <c r="C223" s="68"/>
      <c r="K223" s="63"/>
      <c r="L223" s="68"/>
      <c r="M223" s="68"/>
      <c r="N223" s="63"/>
      <c r="O223" s="63"/>
      <c r="P223" s="63"/>
      <c r="Q223" s="63"/>
      <c r="R223" s="68"/>
      <c r="S223" s="63"/>
      <c r="T223" s="63"/>
      <c r="U223" s="309"/>
      <c r="V223" s="63"/>
      <c r="W223" s="63"/>
      <c r="X223" s="63"/>
      <c r="Y223" s="63"/>
      <c r="Z223" s="63"/>
      <c r="AA223" s="8"/>
      <c r="AB223" s="142"/>
      <c r="AC223" s="142"/>
      <c r="AD223" s="142"/>
      <c r="AE223" s="142"/>
      <c r="AF223" s="203">
        <v>11</v>
      </c>
    </row>
    <row r="224" spans="1:32" s="203" customFormat="1" ht="11.45" customHeight="1">
      <c r="A224" s="572"/>
      <c r="B224" s="68"/>
      <c r="C224" s="68"/>
      <c r="K224" s="63"/>
      <c r="L224" s="68"/>
      <c r="M224" s="68"/>
      <c r="N224" s="63"/>
      <c r="O224" s="63"/>
      <c r="P224" s="63"/>
      <c r="Q224" s="63"/>
      <c r="R224" s="68"/>
      <c r="S224" s="63"/>
      <c r="T224" s="63"/>
      <c r="U224" s="309"/>
      <c r="V224" s="63"/>
      <c r="W224" s="63"/>
      <c r="X224" s="63"/>
      <c r="Y224" s="63"/>
      <c r="Z224" s="63"/>
      <c r="AA224" s="8"/>
      <c r="AB224" s="142"/>
      <c r="AC224" s="142"/>
      <c r="AD224" s="142"/>
      <c r="AE224" s="142"/>
      <c r="AF224" s="203">
        <v>11</v>
      </c>
    </row>
    <row r="225" spans="1:32" s="203" customFormat="1" ht="11.45" customHeight="1">
      <c r="A225" s="572"/>
      <c r="B225" s="68"/>
      <c r="C225" s="68"/>
      <c r="K225" s="63"/>
      <c r="L225" s="68"/>
      <c r="M225" s="68"/>
      <c r="N225" s="63"/>
      <c r="O225" s="63"/>
      <c r="P225" s="63"/>
      <c r="Q225" s="63"/>
      <c r="R225" s="68"/>
      <c r="S225" s="63"/>
      <c r="T225" s="63"/>
      <c r="U225" s="309"/>
      <c r="V225" s="63"/>
      <c r="W225" s="63"/>
      <c r="X225" s="63"/>
      <c r="Y225" s="63"/>
      <c r="Z225" s="63"/>
      <c r="AA225" s="8"/>
      <c r="AB225" s="142"/>
      <c r="AC225" s="142"/>
      <c r="AD225" s="142"/>
      <c r="AE225" s="142"/>
      <c r="AF225" s="203">
        <v>11</v>
      </c>
    </row>
    <row r="226" spans="1:32" s="203" customFormat="1" ht="11.45" customHeight="1">
      <c r="A226" s="572"/>
      <c r="B226" s="68"/>
      <c r="C226" s="68"/>
      <c r="K226" s="63"/>
      <c r="L226" s="68"/>
      <c r="M226" s="68"/>
      <c r="N226" s="63"/>
      <c r="O226" s="63"/>
      <c r="P226" s="63"/>
      <c r="Q226" s="63"/>
      <c r="R226" s="68"/>
      <c r="S226" s="63"/>
      <c r="T226" s="63"/>
      <c r="U226" s="309"/>
      <c r="V226" s="63"/>
      <c r="W226" s="63"/>
      <c r="X226" s="63"/>
      <c r="Y226" s="63"/>
      <c r="Z226" s="63"/>
      <c r="AA226" s="8"/>
      <c r="AB226" s="142"/>
      <c r="AC226" s="142"/>
      <c r="AD226" s="142"/>
      <c r="AE226" s="142"/>
      <c r="AF226" s="203">
        <v>11</v>
      </c>
    </row>
    <row r="227" spans="1:32" s="203" customFormat="1" ht="11.45" customHeight="1">
      <c r="A227" s="572"/>
      <c r="B227" s="68"/>
      <c r="C227" s="68"/>
      <c r="K227" s="63"/>
      <c r="L227" s="68"/>
      <c r="M227" s="68"/>
      <c r="N227" s="63"/>
      <c r="O227" s="63"/>
      <c r="P227" s="63"/>
      <c r="Q227" s="63"/>
      <c r="R227" s="68"/>
      <c r="S227" s="63"/>
      <c r="T227" s="63"/>
      <c r="U227" s="309"/>
      <c r="V227" s="63"/>
      <c r="W227" s="63"/>
      <c r="X227" s="63"/>
      <c r="Y227" s="63"/>
      <c r="Z227" s="63"/>
      <c r="AA227" s="8"/>
      <c r="AB227" s="142"/>
      <c r="AC227" s="142"/>
      <c r="AD227" s="142"/>
      <c r="AE227" s="142"/>
      <c r="AF227" s="203">
        <v>11</v>
      </c>
    </row>
    <row r="228" spans="1:32" s="203" customFormat="1" ht="11.45" customHeight="1">
      <c r="A228" s="572"/>
      <c r="B228" s="68"/>
      <c r="C228" s="68"/>
      <c r="K228" s="63"/>
      <c r="L228" s="68"/>
      <c r="M228" s="68"/>
      <c r="N228" s="63"/>
      <c r="O228" s="63"/>
      <c r="P228" s="63"/>
      <c r="Q228" s="63"/>
      <c r="R228" s="68"/>
      <c r="S228" s="63"/>
      <c r="T228" s="63"/>
      <c r="U228" s="309"/>
      <c r="V228" s="63"/>
      <c r="W228" s="63"/>
      <c r="X228" s="63"/>
      <c r="Y228" s="63"/>
      <c r="Z228" s="63"/>
      <c r="AA228" s="8"/>
      <c r="AB228" s="142"/>
      <c r="AC228" s="142"/>
      <c r="AD228" s="142"/>
      <c r="AE228" s="142"/>
      <c r="AF228" s="203">
        <v>11</v>
      </c>
    </row>
    <row r="229" spans="1:32" s="203" customFormat="1" ht="11.45" customHeight="1">
      <c r="A229" s="572"/>
      <c r="B229" s="68"/>
      <c r="C229" s="68"/>
      <c r="K229" s="63"/>
      <c r="L229" s="68"/>
      <c r="M229" s="68"/>
      <c r="N229" s="63"/>
      <c r="O229" s="63"/>
      <c r="P229" s="63"/>
      <c r="Q229" s="63"/>
      <c r="R229" s="68"/>
      <c r="S229" s="63"/>
      <c r="T229" s="63"/>
      <c r="U229" s="309"/>
      <c r="V229" s="63"/>
      <c r="W229" s="63"/>
      <c r="X229" s="63"/>
      <c r="Y229" s="63"/>
      <c r="Z229" s="63"/>
      <c r="AA229" s="8"/>
      <c r="AB229" s="142"/>
      <c r="AC229" s="142"/>
      <c r="AD229" s="142"/>
      <c r="AE229" s="142"/>
      <c r="AF229" s="203">
        <v>11</v>
      </c>
    </row>
    <row r="230" spans="1:32" s="203" customFormat="1" ht="11.45" customHeight="1">
      <c r="A230" s="572"/>
      <c r="B230" s="68"/>
      <c r="C230" s="68"/>
      <c r="K230" s="63"/>
      <c r="L230" s="68"/>
      <c r="M230" s="68"/>
      <c r="N230" s="63"/>
      <c r="O230" s="63"/>
      <c r="P230" s="63"/>
      <c r="Q230" s="63"/>
      <c r="R230" s="68"/>
      <c r="S230" s="63"/>
      <c r="T230" s="63"/>
      <c r="U230" s="309"/>
      <c r="V230" s="63"/>
      <c r="W230" s="63"/>
      <c r="X230" s="63"/>
      <c r="Y230" s="63"/>
      <c r="Z230" s="63"/>
      <c r="AA230" s="8"/>
      <c r="AB230" s="142"/>
      <c r="AC230" s="142"/>
      <c r="AD230" s="142"/>
      <c r="AE230" s="142"/>
      <c r="AF230" s="203">
        <v>11</v>
      </c>
    </row>
    <row r="231" spans="1:32" s="203" customFormat="1" ht="11.45" customHeight="1">
      <c r="A231" s="572"/>
      <c r="B231" s="68"/>
      <c r="C231" s="68"/>
      <c r="K231" s="63"/>
      <c r="L231" s="68"/>
      <c r="M231" s="68"/>
      <c r="N231" s="63"/>
      <c r="O231" s="63"/>
      <c r="P231" s="63"/>
      <c r="Q231" s="63"/>
      <c r="R231" s="68"/>
      <c r="S231" s="63"/>
      <c r="T231" s="63"/>
      <c r="U231" s="309"/>
      <c r="V231" s="63"/>
      <c r="W231" s="63"/>
      <c r="X231" s="63"/>
      <c r="Y231" s="63"/>
      <c r="Z231" s="63"/>
      <c r="AA231" s="8"/>
      <c r="AB231" s="142"/>
      <c r="AC231" s="142"/>
      <c r="AD231" s="142"/>
      <c r="AE231" s="142"/>
      <c r="AF231" s="203">
        <v>11</v>
      </c>
    </row>
    <row r="232" spans="1:32" s="203" customFormat="1" ht="11.45" customHeight="1">
      <c r="A232" s="572"/>
      <c r="B232" s="68"/>
      <c r="C232" s="68"/>
      <c r="K232" s="63"/>
      <c r="L232" s="68"/>
      <c r="M232" s="68"/>
      <c r="N232" s="63"/>
      <c r="O232" s="63"/>
      <c r="P232" s="63"/>
      <c r="Q232" s="63"/>
      <c r="R232" s="68"/>
      <c r="S232" s="63"/>
      <c r="T232" s="63"/>
      <c r="U232" s="309"/>
      <c r="V232" s="63"/>
      <c r="W232" s="63"/>
      <c r="X232" s="63"/>
      <c r="Y232" s="63"/>
      <c r="Z232" s="63"/>
      <c r="AA232" s="8"/>
      <c r="AB232" s="142"/>
      <c r="AC232" s="142"/>
      <c r="AD232" s="142"/>
      <c r="AE232" s="142"/>
      <c r="AF232" s="203">
        <v>11</v>
      </c>
    </row>
    <row r="233" spans="1:32" s="203" customFormat="1" ht="11.45" customHeight="1">
      <c r="A233" s="572"/>
      <c r="B233" s="68"/>
      <c r="C233" s="68"/>
      <c r="K233" s="63"/>
      <c r="L233" s="68"/>
      <c r="M233" s="68"/>
      <c r="N233" s="63"/>
      <c r="O233" s="63"/>
      <c r="P233" s="63"/>
      <c r="Q233" s="63"/>
      <c r="R233" s="68"/>
      <c r="S233" s="63"/>
      <c r="T233" s="63"/>
      <c r="U233" s="309"/>
      <c r="V233" s="63"/>
      <c r="W233" s="63"/>
      <c r="X233" s="63"/>
      <c r="Y233" s="63"/>
      <c r="Z233" s="63"/>
      <c r="AA233" s="8"/>
      <c r="AB233" s="142"/>
      <c r="AC233" s="142"/>
      <c r="AD233" s="142"/>
      <c r="AE233" s="142"/>
      <c r="AF233" s="203">
        <v>11</v>
      </c>
    </row>
    <row r="234" spans="1:32" s="203" customFormat="1" ht="11.45" customHeight="1">
      <c r="A234" s="572"/>
      <c r="B234" s="68"/>
      <c r="C234" s="68"/>
      <c r="K234" s="63"/>
      <c r="L234" s="68"/>
      <c r="M234" s="68"/>
      <c r="N234" s="63"/>
      <c r="O234" s="63"/>
      <c r="P234" s="63"/>
      <c r="Q234" s="63"/>
      <c r="R234" s="68"/>
      <c r="S234" s="63"/>
      <c r="T234" s="63"/>
      <c r="U234" s="309"/>
      <c r="V234" s="63"/>
      <c r="W234" s="63"/>
      <c r="X234" s="63"/>
      <c r="Y234" s="63"/>
      <c r="Z234" s="63"/>
      <c r="AA234" s="8"/>
      <c r="AB234" s="142"/>
      <c r="AC234" s="142"/>
      <c r="AD234" s="142"/>
      <c r="AE234" s="142"/>
      <c r="AF234" s="203">
        <v>11</v>
      </c>
    </row>
    <row r="235" spans="1:32" s="203" customFormat="1" ht="11.45" customHeight="1">
      <c r="A235" s="572"/>
      <c r="B235" s="68"/>
      <c r="C235" s="68"/>
      <c r="K235" s="63"/>
      <c r="L235" s="68"/>
      <c r="M235" s="68"/>
      <c r="N235" s="63"/>
      <c r="O235" s="63"/>
      <c r="P235" s="63"/>
      <c r="Q235" s="63"/>
      <c r="R235" s="68"/>
      <c r="S235" s="63"/>
      <c r="T235" s="63"/>
      <c r="U235" s="309"/>
      <c r="V235" s="63"/>
      <c r="W235" s="63"/>
      <c r="X235" s="63"/>
      <c r="Y235" s="63"/>
      <c r="Z235" s="63"/>
      <c r="AA235" s="8"/>
      <c r="AB235" s="142"/>
      <c r="AC235" s="142"/>
      <c r="AD235" s="142"/>
      <c r="AE235" s="142"/>
      <c r="AF235" s="203">
        <v>11</v>
      </c>
    </row>
    <row r="236" spans="1:32" s="203" customFormat="1" ht="11.45" customHeight="1">
      <c r="A236" s="572"/>
      <c r="B236" s="68"/>
      <c r="C236" s="68"/>
      <c r="K236" s="63"/>
      <c r="L236" s="68"/>
      <c r="M236" s="68"/>
      <c r="N236" s="63"/>
      <c r="O236" s="63"/>
      <c r="P236" s="63"/>
      <c r="Q236" s="63"/>
      <c r="R236" s="68"/>
      <c r="S236" s="63"/>
      <c r="T236" s="63"/>
      <c r="U236" s="309"/>
      <c r="V236" s="63"/>
      <c r="W236" s="63"/>
      <c r="X236" s="63"/>
      <c r="Y236" s="63"/>
      <c r="Z236" s="63"/>
      <c r="AA236" s="8"/>
      <c r="AB236" s="142"/>
      <c r="AC236" s="142"/>
      <c r="AD236" s="142"/>
      <c r="AE236" s="142"/>
      <c r="AF236" s="203">
        <v>11</v>
      </c>
    </row>
    <row r="237" spans="1:32" s="203" customFormat="1" ht="11.45" customHeight="1">
      <c r="A237" s="572"/>
      <c r="B237" s="68"/>
      <c r="C237" s="68"/>
      <c r="K237" s="63"/>
      <c r="L237" s="68"/>
      <c r="M237" s="68"/>
      <c r="N237" s="63"/>
      <c r="O237" s="63"/>
      <c r="P237" s="63"/>
      <c r="Q237" s="63"/>
      <c r="R237" s="68"/>
      <c r="S237" s="63"/>
      <c r="T237" s="63"/>
      <c r="U237" s="309"/>
      <c r="V237" s="63"/>
      <c r="W237" s="63"/>
      <c r="X237" s="63"/>
      <c r="Y237" s="63"/>
      <c r="Z237" s="63"/>
      <c r="AA237" s="8"/>
      <c r="AB237" s="142"/>
      <c r="AC237" s="142"/>
      <c r="AD237" s="142"/>
      <c r="AE237" s="142"/>
      <c r="AF237" s="203">
        <v>11</v>
      </c>
    </row>
    <row r="238" spans="1:32" s="203" customFormat="1" ht="11.45" customHeight="1">
      <c r="A238" s="572"/>
      <c r="B238" s="68"/>
      <c r="C238" s="68"/>
      <c r="K238" s="63"/>
      <c r="L238" s="68"/>
      <c r="M238" s="68"/>
      <c r="N238" s="63"/>
      <c r="O238" s="63"/>
      <c r="P238" s="63"/>
      <c r="Q238" s="63"/>
      <c r="R238" s="68"/>
      <c r="S238" s="63"/>
      <c r="T238" s="63"/>
      <c r="U238" s="309"/>
      <c r="V238" s="63"/>
      <c r="W238" s="63"/>
      <c r="X238" s="63"/>
      <c r="Y238" s="63"/>
      <c r="Z238" s="63"/>
      <c r="AA238" s="8"/>
      <c r="AB238" s="142"/>
      <c r="AC238" s="142"/>
      <c r="AD238" s="142"/>
      <c r="AE238" s="142"/>
      <c r="AF238" s="203">
        <v>11</v>
      </c>
    </row>
    <row r="239" spans="1:32" s="203" customFormat="1" ht="11.45" customHeight="1">
      <c r="A239" s="572"/>
      <c r="B239" s="68"/>
      <c r="C239" s="68"/>
      <c r="K239" s="63"/>
      <c r="L239" s="68"/>
      <c r="M239" s="68"/>
      <c r="N239" s="63"/>
      <c r="O239" s="63"/>
      <c r="P239" s="63"/>
      <c r="Q239" s="63"/>
      <c r="R239" s="68"/>
      <c r="S239" s="63"/>
      <c r="T239" s="63"/>
      <c r="U239" s="309"/>
      <c r="V239" s="63"/>
      <c r="W239" s="63"/>
      <c r="X239" s="63"/>
      <c r="Y239" s="63"/>
      <c r="Z239" s="63"/>
      <c r="AA239" s="8"/>
      <c r="AB239" s="142"/>
      <c r="AC239" s="142"/>
      <c r="AD239" s="142"/>
      <c r="AE239" s="142"/>
      <c r="AF239" s="203">
        <v>11</v>
      </c>
    </row>
    <row r="240" spans="1:32" s="203" customFormat="1" ht="11.45" customHeight="1">
      <c r="A240" s="572"/>
      <c r="B240" s="68"/>
      <c r="C240" s="68"/>
      <c r="K240" s="63"/>
      <c r="L240" s="68"/>
      <c r="M240" s="68"/>
      <c r="N240" s="63"/>
      <c r="O240" s="63"/>
      <c r="P240" s="63"/>
      <c r="Q240" s="63"/>
      <c r="R240" s="68"/>
      <c r="S240" s="63"/>
      <c r="T240" s="63"/>
      <c r="U240" s="309"/>
      <c r="V240" s="63"/>
      <c r="W240" s="63"/>
      <c r="X240" s="63"/>
      <c r="Y240" s="63"/>
      <c r="Z240" s="63"/>
      <c r="AA240" s="8"/>
      <c r="AB240" s="142"/>
      <c r="AC240" s="142"/>
      <c r="AD240" s="142"/>
      <c r="AE240" s="142"/>
      <c r="AF240" s="203">
        <v>11</v>
      </c>
    </row>
    <row r="241" spans="1:32" s="203" customFormat="1" ht="11.45" customHeight="1">
      <c r="A241" s="572"/>
      <c r="B241" s="68"/>
      <c r="C241" s="68"/>
      <c r="K241" s="63"/>
      <c r="L241" s="68"/>
      <c r="M241" s="68"/>
      <c r="N241" s="63"/>
      <c r="O241" s="63"/>
      <c r="P241" s="63"/>
      <c r="Q241" s="63"/>
      <c r="R241" s="68"/>
      <c r="S241" s="63"/>
      <c r="T241" s="63"/>
      <c r="U241" s="309"/>
      <c r="V241" s="63"/>
      <c r="W241" s="63"/>
      <c r="X241" s="63"/>
      <c r="Y241" s="63"/>
      <c r="Z241" s="63"/>
      <c r="AA241" s="8"/>
      <c r="AB241" s="142"/>
      <c r="AC241" s="142"/>
      <c r="AD241" s="142"/>
      <c r="AE241" s="142"/>
      <c r="AF241" s="203">
        <v>11</v>
      </c>
    </row>
    <row r="242" spans="1:32" s="203" customFormat="1" ht="11.45" customHeight="1">
      <c r="A242" s="572"/>
      <c r="B242" s="68"/>
      <c r="C242" s="68"/>
      <c r="K242" s="63"/>
      <c r="L242" s="68"/>
      <c r="M242" s="68"/>
      <c r="N242" s="63"/>
      <c r="O242" s="63"/>
      <c r="P242" s="63"/>
      <c r="Q242" s="63"/>
      <c r="R242" s="68"/>
      <c r="S242" s="63"/>
      <c r="T242" s="63"/>
      <c r="U242" s="309"/>
      <c r="V242" s="63"/>
      <c r="W242" s="63"/>
      <c r="X242" s="63"/>
      <c r="Y242" s="63"/>
      <c r="Z242" s="63"/>
      <c r="AA242" s="8"/>
      <c r="AB242" s="142"/>
      <c r="AC242" s="142"/>
      <c r="AD242" s="142"/>
      <c r="AE242" s="142"/>
      <c r="AF242" s="203">
        <v>11</v>
      </c>
    </row>
    <row r="243" spans="1:32" s="203" customFormat="1" ht="11.45" customHeight="1">
      <c r="A243" s="572"/>
      <c r="B243" s="68"/>
      <c r="C243" s="68"/>
      <c r="K243" s="63"/>
      <c r="L243" s="68"/>
      <c r="M243" s="68"/>
      <c r="N243" s="63"/>
      <c r="O243" s="63"/>
      <c r="P243" s="63"/>
      <c r="Q243" s="63"/>
      <c r="R243" s="68"/>
      <c r="S243" s="63"/>
      <c r="T243" s="63"/>
      <c r="U243" s="309"/>
      <c r="V243" s="63"/>
      <c r="W243" s="63"/>
      <c r="X243" s="63"/>
      <c r="Y243" s="63"/>
      <c r="Z243" s="63"/>
      <c r="AA243" s="8"/>
      <c r="AB243" s="142"/>
      <c r="AC243" s="142"/>
      <c r="AD243" s="142"/>
      <c r="AE243" s="142"/>
      <c r="AF243" s="203">
        <v>11</v>
      </c>
    </row>
    <row r="244" spans="1:32" s="203" customFormat="1" ht="11.45" customHeight="1">
      <c r="A244" s="572"/>
      <c r="B244" s="68"/>
      <c r="C244" s="68"/>
      <c r="K244" s="63"/>
      <c r="L244" s="68"/>
      <c r="M244" s="68"/>
      <c r="N244" s="63"/>
      <c r="O244" s="63"/>
      <c r="P244" s="63"/>
      <c r="Q244" s="63"/>
      <c r="R244" s="68"/>
      <c r="S244" s="63"/>
      <c r="T244" s="63"/>
      <c r="U244" s="309"/>
      <c r="V244" s="63"/>
      <c r="W244" s="63"/>
      <c r="X244" s="63"/>
      <c r="Y244" s="63"/>
      <c r="Z244" s="63"/>
      <c r="AA244" s="8"/>
      <c r="AB244" s="142"/>
      <c r="AC244" s="142"/>
      <c r="AD244" s="142"/>
      <c r="AE244" s="142"/>
      <c r="AF244" s="203">
        <v>11</v>
      </c>
    </row>
    <row r="245" spans="1:32" s="203" customFormat="1" ht="11.45" customHeight="1">
      <c r="A245" s="572"/>
      <c r="B245" s="68"/>
      <c r="C245" s="68"/>
      <c r="K245" s="63"/>
      <c r="L245" s="68"/>
      <c r="M245" s="68"/>
      <c r="N245" s="63"/>
      <c r="O245" s="63"/>
      <c r="P245" s="63"/>
      <c r="Q245" s="63"/>
      <c r="R245" s="68"/>
      <c r="S245" s="63"/>
      <c r="T245" s="63"/>
      <c r="U245" s="309"/>
      <c r="V245" s="63"/>
      <c r="W245" s="63"/>
      <c r="X245" s="63"/>
      <c r="Y245" s="63"/>
      <c r="Z245" s="63"/>
      <c r="AA245" s="8"/>
      <c r="AB245" s="142"/>
      <c r="AC245" s="142"/>
      <c r="AD245" s="142"/>
      <c r="AE245" s="142"/>
      <c r="AF245" s="203">
        <v>11</v>
      </c>
    </row>
    <row r="246" spans="1:32" s="203" customFormat="1" ht="11.45" customHeight="1">
      <c r="A246" s="572"/>
      <c r="B246" s="68"/>
      <c r="C246" s="68"/>
      <c r="K246" s="63"/>
      <c r="L246" s="68"/>
      <c r="M246" s="68"/>
      <c r="N246" s="63"/>
      <c r="O246" s="63"/>
      <c r="P246" s="63"/>
      <c r="Q246" s="63"/>
      <c r="R246" s="68"/>
      <c r="S246" s="63"/>
      <c r="T246" s="63"/>
      <c r="U246" s="309"/>
      <c r="V246" s="63"/>
      <c r="W246" s="63"/>
      <c r="X246" s="63"/>
      <c r="Y246" s="63"/>
      <c r="Z246" s="63"/>
      <c r="AA246" s="8"/>
      <c r="AB246" s="142"/>
      <c r="AC246" s="142"/>
      <c r="AD246" s="142"/>
      <c r="AE246" s="142"/>
      <c r="AF246" s="203">
        <v>11</v>
      </c>
    </row>
    <row r="247" spans="1:32" s="203" customFormat="1" ht="11.45" customHeight="1">
      <c r="A247" s="572"/>
      <c r="B247" s="68"/>
      <c r="C247" s="68"/>
      <c r="K247" s="63"/>
      <c r="L247" s="68"/>
      <c r="M247" s="68"/>
      <c r="N247" s="63"/>
      <c r="O247" s="63"/>
      <c r="P247" s="63"/>
      <c r="Q247" s="63"/>
      <c r="R247" s="68"/>
      <c r="S247" s="63"/>
      <c r="T247" s="63"/>
      <c r="U247" s="309"/>
      <c r="V247" s="63"/>
      <c r="W247" s="63"/>
      <c r="X247" s="63"/>
      <c r="Y247" s="63"/>
      <c r="Z247" s="63"/>
      <c r="AA247" s="8"/>
      <c r="AB247" s="142"/>
      <c r="AC247" s="142"/>
      <c r="AD247" s="142"/>
      <c r="AE247" s="142"/>
      <c r="AF247" s="203">
        <v>11</v>
      </c>
    </row>
    <row r="248" spans="1:32" s="203" customFormat="1" ht="11.45" customHeight="1">
      <c r="A248" s="572"/>
      <c r="B248" s="68"/>
      <c r="C248" s="68"/>
      <c r="K248" s="63"/>
      <c r="L248" s="68"/>
      <c r="M248" s="68"/>
      <c r="N248" s="63"/>
      <c r="O248" s="63"/>
      <c r="P248" s="63"/>
      <c r="Q248" s="63"/>
      <c r="R248" s="68"/>
      <c r="S248" s="63"/>
      <c r="T248" s="63"/>
      <c r="U248" s="309"/>
      <c r="V248" s="63"/>
      <c r="W248" s="63"/>
      <c r="X248" s="63"/>
      <c r="Y248" s="63"/>
      <c r="Z248" s="63"/>
      <c r="AA248" s="8"/>
      <c r="AB248" s="142"/>
      <c r="AC248" s="142"/>
      <c r="AD248" s="142"/>
      <c r="AE248" s="142"/>
      <c r="AF248" s="203">
        <v>11</v>
      </c>
    </row>
    <row r="249" spans="1:32" s="203" customFormat="1" ht="11.45" customHeight="1">
      <c r="A249" s="572"/>
      <c r="B249" s="68"/>
      <c r="C249" s="68"/>
      <c r="K249" s="63"/>
      <c r="L249" s="68"/>
      <c r="M249" s="68"/>
      <c r="N249" s="63"/>
      <c r="O249" s="63"/>
      <c r="P249" s="63"/>
      <c r="Q249" s="63"/>
      <c r="R249" s="68"/>
      <c r="S249" s="63"/>
      <c r="T249" s="63"/>
      <c r="U249" s="309"/>
      <c r="V249" s="63"/>
      <c r="W249" s="63"/>
      <c r="X249" s="63"/>
      <c r="Y249" s="63"/>
      <c r="Z249" s="63"/>
      <c r="AA249" s="8"/>
      <c r="AB249" s="142"/>
      <c r="AC249" s="142"/>
      <c r="AD249" s="142"/>
      <c r="AE249" s="142"/>
      <c r="AF249" s="203">
        <v>11</v>
      </c>
    </row>
    <row r="250" spans="1:32" s="203" customFormat="1" ht="11.45" customHeight="1">
      <c r="A250" s="572"/>
      <c r="B250" s="68"/>
      <c r="C250" s="68"/>
      <c r="K250" s="63"/>
      <c r="L250" s="68"/>
      <c r="M250" s="68"/>
      <c r="N250" s="63"/>
      <c r="O250" s="63"/>
      <c r="P250" s="63"/>
      <c r="Q250" s="63"/>
      <c r="R250" s="68"/>
      <c r="S250" s="63"/>
      <c r="T250" s="63"/>
      <c r="U250" s="309"/>
      <c r="V250" s="63"/>
      <c r="W250" s="63"/>
      <c r="X250" s="63"/>
      <c r="Y250" s="63"/>
      <c r="Z250" s="63"/>
      <c r="AA250" s="8"/>
      <c r="AB250" s="142"/>
      <c r="AC250" s="142"/>
      <c r="AD250" s="142"/>
      <c r="AE250" s="142"/>
      <c r="AF250" s="203">
        <v>11</v>
      </c>
    </row>
    <row r="251" spans="1:32" s="203" customFormat="1" ht="11.45" customHeight="1">
      <c r="A251" s="572"/>
      <c r="B251" s="68"/>
      <c r="C251" s="68"/>
      <c r="K251" s="63"/>
      <c r="L251" s="68"/>
      <c r="M251" s="68"/>
      <c r="N251" s="63"/>
      <c r="O251" s="63"/>
      <c r="P251" s="63"/>
      <c r="Q251" s="63"/>
      <c r="R251" s="68"/>
      <c r="S251" s="63"/>
      <c r="T251" s="63"/>
      <c r="U251" s="309"/>
      <c r="V251" s="63"/>
      <c r="W251" s="63"/>
      <c r="X251" s="63"/>
      <c r="Y251" s="63"/>
      <c r="Z251" s="63"/>
      <c r="AA251" s="8"/>
      <c r="AB251" s="142"/>
      <c r="AC251" s="142"/>
      <c r="AD251" s="142"/>
      <c r="AE251" s="142"/>
      <c r="AF251" s="203">
        <v>11</v>
      </c>
    </row>
    <row r="252" spans="1:32" s="203" customFormat="1" ht="11.45" customHeight="1">
      <c r="A252" s="572"/>
      <c r="B252" s="68"/>
      <c r="C252" s="68"/>
      <c r="K252" s="63"/>
      <c r="L252" s="68"/>
      <c r="M252" s="68"/>
      <c r="N252" s="63"/>
      <c r="O252" s="63"/>
      <c r="P252" s="63"/>
      <c r="Q252" s="63"/>
      <c r="R252" s="68"/>
      <c r="S252" s="63"/>
      <c r="T252" s="63"/>
      <c r="U252" s="309"/>
      <c r="V252" s="63"/>
      <c r="W252" s="63"/>
      <c r="X252" s="63"/>
      <c r="Y252" s="63"/>
      <c r="Z252" s="63"/>
      <c r="AA252" s="8"/>
      <c r="AB252" s="142"/>
      <c r="AC252" s="142"/>
      <c r="AD252" s="142"/>
      <c r="AE252" s="142"/>
      <c r="AF252" s="203">
        <v>11</v>
      </c>
    </row>
    <row r="253" spans="1:32" s="203" customFormat="1" ht="11.45" customHeight="1">
      <c r="A253" s="572"/>
      <c r="B253" s="68"/>
      <c r="C253" s="68"/>
      <c r="K253" s="63"/>
      <c r="L253" s="68"/>
      <c r="M253" s="68"/>
      <c r="N253" s="63"/>
      <c r="O253" s="63"/>
      <c r="P253" s="63"/>
      <c r="Q253" s="63"/>
      <c r="R253" s="68"/>
      <c r="S253" s="63"/>
      <c r="T253" s="63"/>
      <c r="U253" s="309"/>
      <c r="V253" s="63"/>
      <c r="W253" s="63"/>
      <c r="X253" s="63"/>
      <c r="Y253" s="63"/>
      <c r="Z253" s="63"/>
      <c r="AA253" s="8"/>
      <c r="AB253" s="142"/>
      <c r="AC253" s="142"/>
      <c r="AD253" s="142"/>
      <c r="AE253" s="142"/>
      <c r="AF253" s="203">
        <v>11</v>
      </c>
    </row>
    <row r="254" spans="1:32" s="203" customFormat="1" ht="11.45" customHeight="1">
      <c r="A254" s="572"/>
      <c r="B254" s="68"/>
      <c r="C254" s="68"/>
      <c r="K254" s="63"/>
      <c r="L254" s="68"/>
      <c r="M254" s="68"/>
      <c r="N254" s="63"/>
      <c r="O254" s="63"/>
      <c r="P254" s="63"/>
      <c r="Q254" s="63"/>
      <c r="R254" s="68"/>
      <c r="S254" s="63"/>
      <c r="T254" s="63"/>
      <c r="U254" s="309"/>
      <c r="V254" s="63"/>
      <c r="W254" s="63"/>
      <c r="X254" s="63"/>
      <c r="Y254" s="63"/>
      <c r="Z254" s="63"/>
      <c r="AA254" s="8"/>
      <c r="AB254" s="142"/>
      <c r="AC254" s="142"/>
      <c r="AD254" s="142"/>
      <c r="AE254" s="142"/>
      <c r="AF254" s="203">
        <v>11</v>
      </c>
    </row>
    <row r="255" spans="1:32" s="203" customFormat="1" ht="11.45" customHeight="1">
      <c r="A255" s="572"/>
      <c r="B255" s="68"/>
      <c r="C255" s="68"/>
      <c r="K255" s="63"/>
      <c r="L255" s="68"/>
      <c r="M255" s="68"/>
      <c r="N255" s="63"/>
      <c r="O255" s="63"/>
      <c r="P255" s="63"/>
      <c r="Q255" s="63"/>
      <c r="R255" s="68"/>
      <c r="S255" s="63"/>
      <c r="T255" s="63"/>
      <c r="U255" s="309"/>
      <c r="V255" s="63"/>
      <c r="W255" s="63"/>
      <c r="X255" s="63"/>
      <c r="Y255" s="63"/>
      <c r="Z255" s="63"/>
      <c r="AA255" s="8"/>
      <c r="AB255" s="142"/>
      <c r="AC255" s="142"/>
      <c r="AD255" s="142"/>
      <c r="AE255" s="142"/>
      <c r="AF255" s="203">
        <v>11</v>
      </c>
    </row>
    <row r="256" spans="1:32" s="203" customFormat="1" ht="11.45" customHeight="1">
      <c r="A256" s="572"/>
      <c r="B256" s="68"/>
      <c r="C256" s="68"/>
      <c r="K256" s="63"/>
      <c r="L256" s="68"/>
      <c r="M256" s="68"/>
      <c r="N256" s="63"/>
      <c r="O256" s="63"/>
      <c r="P256" s="63"/>
      <c r="Q256" s="63"/>
      <c r="R256" s="68"/>
      <c r="S256" s="63"/>
      <c r="T256" s="63"/>
      <c r="U256" s="309"/>
      <c r="V256" s="63"/>
      <c r="W256" s="63"/>
      <c r="X256" s="63"/>
      <c r="Y256" s="63"/>
      <c r="Z256" s="63"/>
      <c r="AA256" s="8"/>
      <c r="AB256" s="142"/>
      <c r="AC256" s="142"/>
      <c r="AD256" s="142"/>
      <c r="AE256" s="142"/>
      <c r="AF256" s="203">
        <v>11</v>
      </c>
    </row>
    <row r="257" spans="1:32" s="203" customFormat="1" ht="11.45" customHeight="1">
      <c r="A257" s="572"/>
      <c r="B257" s="68"/>
      <c r="C257" s="68"/>
      <c r="K257" s="63"/>
      <c r="L257" s="68"/>
      <c r="M257" s="68"/>
      <c r="N257" s="63"/>
      <c r="O257" s="63"/>
      <c r="P257" s="63"/>
      <c r="Q257" s="63"/>
      <c r="R257" s="68"/>
      <c r="S257" s="63"/>
      <c r="T257" s="63"/>
      <c r="U257" s="309"/>
      <c r="V257" s="63"/>
      <c r="W257" s="63"/>
      <c r="X257" s="63"/>
      <c r="Y257" s="63"/>
      <c r="Z257" s="63"/>
      <c r="AA257" s="8"/>
      <c r="AB257" s="142"/>
      <c r="AC257" s="142"/>
      <c r="AD257" s="142"/>
      <c r="AE257" s="142"/>
      <c r="AF257" s="203">
        <v>11</v>
      </c>
    </row>
    <row r="258" spans="1:32" s="203" customFormat="1" ht="11.45" customHeight="1">
      <c r="A258" s="572"/>
      <c r="B258" s="68"/>
      <c r="C258" s="68"/>
      <c r="K258" s="63"/>
      <c r="L258" s="68"/>
      <c r="M258" s="68"/>
      <c r="N258" s="63"/>
      <c r="O258" s="63"/>
      <c r="P258" s="63"/>
      <c r="Q258" s="63"/>
      <c r="R258" s="68"/>
      <c r="S258" s="63"/>
      <c r="T258" s="63"/>
      <c r="U258" s="309"/>
      <c r="V258" s="63"/>
      <c r="W258" s="63"/>
      <c r="X258" s="63"/>
      <c r="Y258" s="63"/>
      <c r="Z258" s="63"/>
      <c r="AA258" s="8"/>
      <c r="AB258" s="142"/>
      <c r="AC258" s="142"/>
      <c r="AD258" s="142"/>
      <c r="AE258" s="142"/>
      <c r="AF258" s="203">
        <v>11</v>
      </c>
    </row>
    <row r="259" spans="1:32" s="203" customFormat="1" ht="11.45" customHeight="1">
      <c r="A259" s="572"/>
      <c r="B259" s="68"/>
      <c r="C259" s="68"/>
      <c r="K259" s="63"/>
      <c r="L259" s="68"/>
      <c r="M259" s="68"/>
      <c r="N259" s="63"/>
      <c r="O259" s="63"/>
      <c r="P259" s="63"/>
      <c r="Q259" s="63"/>
      <c r="R259" s="68"/>
      <c r="S259" s="63"/>
      <c r="T259" s="63"/>
      <c r="U259" s="309"/>
      <c r="V259" s="63"/>
      <c r="W259" s="63"/>
      <c r="X259" s="63"/>
      <c r="Y259" s="63"/>
      <c r="Z259" s="63"/>
      <c r="AA259" s="8"/>
      <c r="AB259" s="142"/>
      <c r="AC259" s="142"/>
      <c r="AD259" s="142"/>
      <c r="AE259" s="142"/>
      <c r="AF259" s="203">
        <v>11</v>
      </c>
    </row>
    <row r="260" spans="1:32" s="203" customFormat="1" ht="11.45" customHeight="1">
      <c r="A260" s="572"/>
      <c r="B260" s="68"/>
      <c r="C260" s="68"/>
      <c r="K260" s="63"/>
      <c r="L260" s="68"/>
      <c r="M260" s="68"/>
      <c r="N260" s="63"/>
      <c r="O260" s="63"/>
      <c r="P260" s="63"/>
      <c r="Q260" s="63"/>
      <c r="R260" s="68"/>
      <c r="S260" s="63"/>
      <c r="T260" s="63"/>
      <c r="U260" s="309"/>
      <c r="V260" s="63"/>
      <c r="W260" s="63"/>
      <c r="X260" s="63"/>
      <c r="Y260" s="63"/>
      <c r="Z260" s="63"/>
      <c r="AA260" s="8"/>
      <c r="AB260" s="142"/>
      <c r="AC260" s="142"/>
      <c r="AD260" s="142"/>
      <c r="AE260" s="142"/>
      <c r="AF260" s="203">
        <v>11</v>
      </c>
    </row>
    <row r="261" spans="1:32" s="203" customFormat="1" ht="11.45" customHeight="1">
      <c r="A261" s="572"/>
      <c r="B261" s="68"/>
      <c r="C261" s="68"/>
      <c r="K261" s="63"/>
      <c r="L261" s="68"/>
      <c r="M261" s="68"/>
      <c r="N261" s="63"/>
      <c r="O261" s="63"/>
      <c r="P261" s="63"/>
      <c r="Q261" s="63"/>
      <c r="R261" s="68"/>
      <c r="S261" s="63"/>
      <c r="T261" s="63"/>
      <c r="U261" s="309"/>
      <c r="V261" s="63"/>
      <c r="W261" s="63"/>
      <c r="X261" s="63"/>
      <c r="Y261" s="63"/>
      <c r="Z261" s="63"/>
      <c r="AA261" s="8"/>
      <c r="AB261" s="142"/>
      <c r="AC261" s="142"/>
      <c r="AD261" s="142"/>
      <c r="AE261" s="142"/>
      <c r="AF261" s="203">
        <v>11</v>
      </c>
    </row>
    <row r="262" spans="1:32" s="203" customFormat="1" ht="11.45" customHeight="1">
      <c r="A262" s="572"/>
      <c r="B262" s="68"/>
      <c r="C262" s="68"/>
      <c r="K262" s="63"/>
      <c r="L262" s="68"/>
      <c r="M262" s="68"/>
      <c r="N262" s="63"/>
      <c r="O262" s="63"/>
      <c r="P262" s="63"/>
      <c r="Q262" s="63"/>
      <c r="R262" s="68"/>
      <c r="S262" s="63"/>
      <c r="T262" s="63"/>
      <c r="U262" s="309"/>
      <c r="V262" s="63"/>
      <c r="W262" s="63"/>
      <c r="X262" s="63"/>
      <c r="Y262" s="63"/>
      <c r="Z262" s="63"/>
      <c r="AA262" s="8"/>
      <c r="AB262" s="142"/>
      <c r="AC262" s="142"/>
      <c r="AD262" s="142"/>
      <c r="AE262" s="142"/>
      <c r="AF262" s="203">
        <v>11</v>
      </c>
    </row>
    <row r="263" spans="1:32" s="203" customFormat="1" ht="11.45" customHeight="1">
      <c r="A263" s="572"/>
      <c r="B263" s="68"/>
      <c r="C263" s="68"/>
      <c r="K263" s="63"/>
      <c r="L263" s="68"/>
      <c r="M263" s="68"/>
      <c r="N263" s="63"/>
      <c r="O263" s="63"/>
      <c r="P263" s="63"/>
      <c r="Q263" s="63"/>
      <c r="R263" s="68"/>
      <c r="S263" s="63"/>
      <c r="T263" s="63"/>
      <c r="U263" s="309"/>
      <c r="V263" s="63"/>
      <c r="W263" s="63"/>
      <c r="X263" s="63"/>
      <c r="Y263" s="63"/>
      <c r="Z263" s="63"/>
      <c r="AA263" s="8"/>
      <c r="AB263" s="142"/>
      <c r="AC263" s="142"/>
      <c r="AD263" s="142"/>
      <c r="AE263" s="142"/>
      <c r="AF263" s="203">
        <v>11</v>
      </c>
    </row>
    <row r="264" spans="1:32" s="203" customFormat="1" ht="11.45" customHeight="1">
      <c r="A264" s="572"/>
      <c r="B264" s="68"/>
      <c r="C264" s="68"/>
      <c r="K264" s="63"/>
      <c r="L264" s="68"/>
      <c r="M264" s="68"/>
      <c r="N264" s="63"/>
      <c r="O264" s="63"/>
      <c r="P264" s="63"/>
      <c r="Q264" s="63"/>
      <c r="R264" s="68"/>
      <c r="S264" s="63"/>
      <c r="T264" s="63"/>
      <c r="U264" s="309"/>
      <c r="V264" s="63"/>
      <c r="W264" s="63"/>
      <c r="X264" s="63"/>
      <c r="Y264" s="63"/>
      <c r="Z264" s="63"/>
      <c r="AA264" s="8"/>
      <c r="AB264" s="142"/>
      <c r="AC264" s="142"/>
      <c r="AD264" s="142"/>
      <c r="AE264" s="142"/>
      <c r="AF264" s="203">
        <v>11</v>
      </c>
    </row>
    <row r="265" spans="1:32" s="203" customFormat="1" ht="11.45" customHeight="1">
      <c r="A265" s="572"/>
      <c r="B265" s="68"/>
      <c r="C265" s="68"/>
      <c r="K265" s="63"/>
      <c r="L265" s="68"/>
      <c r="M265" s="68"/>
      <c r="N265" s="63"/>
      <c r="O265" s="63"/>
      <c r="P265" s="63"/>
      <c r="Q265" s="63"/>
      <c r="R265" s="68"/>
      <c r="S265" s="63"/>
      <c r="T265" s="63"/>
      <c r="U265" s="309"/>
      <c r="V265" s="63"/>
      <c r="W265" s="63"/>
      <c r="X265" s="63"/>
      <c r="Y265" s="63"/>
      <c r="Z265" s="63"/>
      <c r="AA265" s="8"/>
      <c r="AB265" s="142"/>
      <c r="AC265" s="142"/>
      <c r="AD265" s="142"/>
      <c r="AE265" s="142"/>
      <c r="AF265" s="203">
        <v>11</v>
      </c>
    </row>
    <row r="266" spans="1:32" s="203" customFormat="1" ht="11.45" customHeight="1">
      <c r="A266" s="572"/>
      <c r="B266" s="68"/>
      <c r="C266" s="68"/>
      <c r="K266" s="63"/>
      <c r="L266" s="68"/>
      <c r="M266" s="68"/>
      <c r="N266" s="63"/>
      <c r="O266" s="63"/>
      <c r="P266" s="63"/>
      <c r="Q266" s="63"/>
      <c r="R266" s="68"/>
      <c r="S266" s="63"/>
      <c r="T266" s="63"/>
      <c r="U266" s="309"/>
      <c r="V266" s="63"/>
      <c r="W266" s="63"/>
      <c r="X266" s="63"/>
      <c r="Y266" s="63"/>
      <c r="Z266" s="63"/>
      <c r="AA266" s="8"/>
      <c r="AB266" s="142"/>
      <c r="AC266" s="142"/>
      <c r="AD266" s="142"/>
      <c r="AE266" s="142"/>
      <c r="AF266" s="203">
        <v>11</v>
      </c>
    </row>
    <row r="267" spans="1:32" s="203" customFormat="1" ht="11.45" customHeight="1">
      <c r="A267" s="572"/>
      <c r="B267" s="68"/>
      <c r="C267" s="68"/>
      <c r="K267" s="63"/>
      <c r="L267" s="68"/>
      <c r="M267" s="68"/>
      <c r="N267" s="63"/>
      <c r="O267" s="63"/>
      <c r="P267" s="63"/>
      <c r="Q267" s="63"/>
      <c r="R267" s="68"/>
      <c r="S267" s="63"/>
      <c r="T267" s="63"/>
      <c r="U267" s="309"/>
      <c r="V267" s="63"/>
      <c r="W267" s="63"/>
      <c r="X267" s="63"/>
      <c r="Y267" s="63"/>
      <c r="Z267" s="63"/>
      <c r="AA267" s="8"/>
      <c r="AB267" s="142"/>
      <c r="AC267" s="142"/>
      <c r="AD267" s="142"/>
      <c r="AE267" s="142"/>
      <c r="AF267" s="203">
        <v>11</v>
      </c>
    </row>
    <row r="268" spans="1:32" s="203" customFormat="1" ht="11.45" customHeight="1">
      <c r="A268" s="572"/>
      <c r="B268" s="68"/>
      <c r="C268" s="68"/>
      <c r="K268" s="63"/>
      <c r="L268" s="68"/>
      <c r="M268" s="68"/>
      <c r="N268" s="63"/>
      <c r="O268" s="63"/>
      <c r="P268" s="63"/>
      <c r="Q268" s="63"/>
      <c r="R268" s="68"/>
      <c r="S268" s="63"/>
      <c r="T268" s="63"/>
      <c r="U268" s="309"/>
      <c r="V268" s="63"/>
      <c r="W268" s="63"/>
      <c r="X268" s="63"/>
      <c r="Y268" s="63"/>
      <c r="Z268" s="63"/>
      <c r="AA268" s="8"/>
      <c r="AB268" s="142"/>
      <c r="AC268" s="142"/>
      <c r="AD268" s="142"/>
      <c r="AE268" s="142"/>
      <c r="AF268" s="203">
        <v>11</v>
      </c>
    </row>
    <row r="269" spans="1:32" s="203" customFormat="1" ht="11.45" customHeight="1">
      <c r="A269" s="572"/>
      <c r="B269" s="68"/>
      <c r="C269" s="68"/>
      <c r="K269" s="63"/>
      <c r="L269" s="68"/>
      <c r="M269" s="68"/>
      <c r="N269" s="63"/>
      <c r="O269" s="63"/>
      <c r="P269" s="63"/>
      <c r="Q269" s="63"/>
      <c r="R269" s="68"/>
      <c r="S269" s="63"/>
      <c r="T269" s="63"/>
      <c r="U269" s="309"/>
      <c r="V269" s="63"/>
      <c r="W269" s="63"/>
      <c r="X269" s="63"/>
      <c r="Y269" s="63"/>
      <c r="Z269" s="63"/>
      <c r="AA269" s="8"/>
      <c r="AB269" s="142"/>
      <c r="AC269" s="142"/>
      <c r="AD269" s="142"/>
      <c r="AE269" s="142"/>
      <c r="AF269" s="203">
        <v>11</v>
      </c>
    </row>
    <row r="270" spans="1:32" s="203" customFormat="1" ht="11.45" customHeight="1">
      <c r="A270" s="572"/>
      <c r="B270" s="68"/>
      <c r="C270" s="68"/>
      <c r="K270" s="63"/>
      <c r="L270" s="68"/>
      <c r="M270" s="68"/>
      <c r="N270" s="63"/>
      <c r="O270" s="63"/>
      <c r="P270" s="63"/>
      <c r="Q270" s="63"/>
      <c r="R270" s="68"/>
      <c r="S270" s="63"/>
      <c r="T270" s="63"/>
      <c r="U270" s="309"/>
      <c r="V270" s="63"/>
      <c r="W270" s="63"/>
      <c r="X270" s="63"/>
      <c r="Y270" s="63"/>
      <c r="Z270" s="63"/>
      <c r="AA270" s="8"/>
      <c r="AB270" s="142"/>
      <c r="AC270" s="142"/>
      <c r="AD270" s="142"/>
      <c r="AE270" s="142"/>
      <c r="AF270" s="203">
        <v>11</v>
      </c>
    </row>
    <row r="271" spans="1:32" s="203" customFormat="1" ht="11.45" customHeight="1">
      <c r="A271" s="572"/>
      <c r="B271" s="68"/>
      <c r="C271" s="68"/>
      <c r="K271" s="63"/>
      <c r="L271" s="68"/>
      <c r="M271" s="68"/>
      <c r="N271" s="63"/>
      <c r="O271" s="63"/>
      <c r="P271" s="63"/>
      <c r="Q271" s="63"/>
      <c r="R271" s="68"/>
      <c r="S271" s="63"/>
      <c r="T271" s="63"/>
      <c r="U271" s="309"/>
      <c r="V271" s="63"/>
      <c r="W271" s="63"/>
      <c r="X271" s="63"/>
      <c r="Y271" s="63"/>
      <c r="Z271" s="63"/>
      <c r="AA271" s="8"/>
      <c r="AB271" s="142"/>
      <c r="AC271" s="142"/>
      <c r="AD271" s="142"/>
      <c r="AE271" s="142"/>
      <c r="AF271" s="203">
        <v>11</v>
      </c>
    </row>
    <row r="272" spans="1:32" s="203" customFormat="1" ht="11.45" customHeight="1">
      <c r="A272" s="572"/>
      <c r="B272" s="68"/>
      <c r="C272" s="68"/>
      <c r="K272" s="63"/>
      <c r="L272" s="68"/>
      <c r="M272" s="68"/>
      <c r="N272" s="63"/>
      <c r="O272" s="63"/>
      <c r="P272" s="63"/>
      <c r="Q272" s="63"/>
      <c r="R272" s="68"/>
      <c r="S272" s="63"/>
      <c r="T272" s="63"/>
      <c r="U272" s="309"/>
      <c r="V272" s="63"/>
      <c r="W272" s="63"/>
      <c r="X272" s="63"/>
      <c r="Y272" s="63"/>
      <c r="Z272" s="63"/>
      <c r="AA272" s="8"/>
      <c r="AB272" s="142"/>
      <c r="AC272" s="142"/>
      <c r="AD272" s="142"/>
      <c r="AE272" s="142"/>
      <c r="AF272" s="203">
        <v>11</v>
      </c>
    </row>
    <row r="273" spans="1:32" s="203" customFormat="1" ht="11.45" customHeight="1">
      <c r="A273" s="572"/>
      <c r="B273" s="68"/>
      <c r="C273" s="68"/>
      <c r="K273" s="63"/>
      <c r="L273" s="68"/>
      <c r="M273" s="68"/>
      <c r="N273" s="63"/>
      <c r="O273" s="63"/>
      <c r="P273" s="63"/>
      <c r="Q273" s="63"/>
      <c r="R273" s="68"/>
      <c r="S273" s="63"/>
      <c r="T273" s="63"/>
      <c r="U273" s="309"/>
      <c r="V273" s="63"/>
      <c r="W273" s="63"/>
      <c r="X273" s="63"/>
      <c r="Y273" s="63"/>
      <c r="Z273" s="63"/>
      <c r="AA273" s="8"/>
      <c r="AB273" s="142"/>
      <c r="AC273" s="142"/>
      <c r="AD273" s="142"/>
      <c r="AE273" s="142"/>
      <c r="AF273" s="203">
        <v>11</v>
      </c>
    </row>
    <row r="274" spans="1:32" s="203" customFormat="1" ht="11.45" customHeight="1">
      <c r="A274" s="572"/>
      <c r="B274" s="68"/>
      <c r="C274" s="68"/>
      <c r="K274" s="63"/>
      <c r="L274" s="68"/>
      <c r="M274" s="68"/>
      <c r="N274" s="63"/>
      <c r="O274" s="63"/>
      <c r="P274" s="63"/>
      <c r="Q274" s="63"/>
      <c r="R274" s="68"/>
      <c r="S274" s="63"/>
      <c r="T274" s="63"/>
      <c r="U274" s="309"/>
      <c r="V274" s="63"/>
      <c r="W274" s="63"/>
      <c r="X274" s="63"/>
      <c r="Y274" s="63"/>
      <c r="Z274" s="63"/>
      <c r="AA274" s="8"/>
      <c r="AB274" s="142"/>
      <c r="AC274" s="142"/>
      <c r="AD274" s="142"/>
      <c r="AE274" s="142"/>
      <c r="AF274" s="203">
        <v>11</v>
      </c>
    </row>
    <row r="275" spans="1:32" s="203" customFormat="1" ht="11.45" customHeight="1">
      <c r="A275" s="572"/>
      <c r="B275" s="68"/>
      <c r="C275" s="68"/>
      <c r="K275" s="63"/>
      <c r="L275" s="68"/>
      <c r="M275" s="68"/>
      <c r="N275" s="63"/>
      <c r="O275" s="63"/>
      <c r="P275" s="63"/>
      <c r="Q275" s="63"/>
      <c r="R275" s="68"/>
      <c r="S275" s="63"/>
      <c r="T275" s="63"/>
      <c r="U275" s="309"/>
      <c r="V275" s="63"/>
      <c r="W275" s="63"/>
      <c r="X275" s="63"/>
      <c r="Y275" s="63"/>
      <c r="Z275" s="63"/>
      <c r="AA275" s="8"/>
      <c r="AB275" s="142"/>
      <c r="AC275" s="142"/>
      <c r="AD275" s="142"/>
      <c r="AE275" s="142"/>
      <c r="AF275" s="203">
        <v>11</v>
      </c>
    </row>
    <row r="276" spans="1:32" s="203" customFormat="1" ht="11.45" customHeight="1">
      <c r="A276" s="572"/>
      <c r="B276" s="68"/>
      <c r="C276" s="68"/>
      <c r="K276" s="63"/>
      <c r="L276" s="68"/>
      <c r="M276" s="68"/>
      <c r="N276" s="63"/>
      <c r="O276" s="63"/>
      <c r="P276" s="63"/>
      <c r="Q276" s="63"/>
      <c r="R276" s="68"/>
      <c r="S276" s="63"/>
      <c r="T276" s="63"/>
      <c r="U276" s="309"/>
      <c r="V276" s="63"/>
      <c r="W276" s="63"/>
      <c r="X276" s="63"/>
      <c r="Y276" s="63"/>
      <c r="Z276" s="63"/>
      <c r="AA276" s="8"/>
      <c r="AB276" s="142"/>
      <c r="AC276" s="142"/>
      <c r="AD276" s="142"/>
      <c r="AE276" s="142"/>
      <c r="AF276" s="203">
        <v>11</v>
      </c>
    </row>
    <row r="277" spans="1:32" s="203" customFormat="1" ht="11.45" customHeight="1">
      <c r="A277" s="572"/>
      <c r="B277" s="68"/>
      <c r="C277" s="68"/>
      <c r="K277" s="63"/>
      <c r="L277" s="68"/>
      <c r="M277" s="68"/>
      <c r="N277" s="63"/>
      <c r="O277" s="63"/>
      <c r="P277" s="63"/>
      <c r="Q277" s="63"/>
      <c r="R277" s="68"/>
      <c r="S277" s="63"/>
      <c r="T277" s="63"/>
      <c r="U277" s="309"/>
      <c r="V277" s="63"/>
      <c r="W277" s="63"/>
      <c r="X277" s="63"/>
      <c r="Y277" s="63"/>
      <c r="Z277" s="63"/>
      <c r="AA277" s="8"/>
      <c r="AB277" s="142"/>
      <c r="AC277" s="142"/>
      <c r="AD277" s="142"/>
      <c r="AE277" s="142"/>
      <c r="AF277" s="203">
        <v>11</v>
      </c>
    </row>
    <row r="278" spans="1:32" s="203" customFormat="1" ht="11.45" customHeight="1">
      <c r="A278" s="572"/>
      <c r="B278" s="68"/>
      <c r="C278" s="68"/>
      <c r="K278" s="63"/>
      <c r="L278" s="68"/>
      <c r="M278" s="68"/>
      <c r="N278" s="63"/>
      <c r="O278" s="63"/>
      <c r="P278" s="63"/>
      <c r="Q278" s="63"/>
      <c r="R278" s="68"/>
      <c r="S278" s="63"/>
      <c r="T278" s="63"/>
      <c r="U278" s="309"/>
      <c r="V278" s="63"/>
      <c r="W278" s="63"/>
      <c r="X278" s="63"/>
      <c r="Y278" s="63"/>
      <c r="Z278" s="63"/>
      <c r="AA278" s="8"/>
      <c r="AB278" s="142"/>
      <c r="AC278" s="142"/>
      <c r="AD278" s="142"/>
      <c r="AE278" s="142"/>
      <c r="AF278" s="203">
        <v>11</v>
      </c>
    </row>
    <row r="279" spans="1:32" s="203" customFormat="1" ht="11.45" customHeight="1">
      <c r="A279" s="572"/>
      <c r="B279" s="68"/>
      <c r="C279" s="68"/>
      <c r="K279" s="63"/>
      <c r="L279" s="68"/>
      <c r="M279" s="68"/>
      <c r="N279" s="63"/>
      <c r="O279" s="63"/>
      <c r="P279" s="63"/>
      <c r="Q279" s="63"/>
      <c r="R279" s="68"/>
      <c r="S279" s="63"/>
      <c r="T279" s="63"/>
      <c r="U279" s="309"/>
      <c r="V279" s="63"/>
      <c r="W279" s="63"/>
      <c r="X279" s="63"/>
      <c r="Y279" s="63"/>
      <c r="Z279" s="63"/>
      <c r="AA279" s="8"/>
      <c r="AB279" s="142"/>
      <c r="AC279" s="142"/>
      <c r="AD279" s="142"/>
      <c r="AE279" s="142"/>
      <c r="AF279" s="203">
        <v>11</v>
      </c>
    </row>
    <row r="280" spans="1:32" s="203" customFormat="1" ht="11.45" customHeight="1">
      <c r="A280" s="572"/>
      <c r="B280" s="68"/>
      <c r="C280" s="68"/>
      <c r="K280" s="63"/>
      <c r="L280" s="68"/>
      <c r="M280" s="68"/>
      <c r="N280" s="63"/>
      <c r="O280" s="63"/>
      <c r="P280" s="63"/>
      <c r="Q280" s="63"/>
      <c r="R280" s="68"/>
      <c r="S280" s="63"/>
      <c r="T280" s="63"/>
      <c r="U280" s="309"/>
      <c r="V280" s="63"/>
      <c r="W280" s="63"/>
      <c r="X280" s="63"/>
      <c r="Y280" s="63"/>
      <c r="Z280" s="63"/>
      <c r="AA280" s="8"/>
      <c r="AB280" s="142"/>
      <c r="AC280" s="142"/>
      <c r="AD280" s="142"/>
      <c r="AE280" s="142"/>
      <c r="AF280" s="203">
        <v>11</v>
      </c>
    </row>
    <row r="281" spans="1:32" s="203" customFormat="1" ht="11.45" customHeight="1">
      <c r="A281" s="572"/>
      <c r="B281" s="68"/>
      <c r="C281" s="68"/>
      <c r="K281" s="63"/>
      <c r="L281" s="68"/>
      <c r="M281" s="68"/>
      <c r="N281" s="63"/>
      <c r="O281" s="63"/>
      <c r="P281" s="63"/>
      <c r="Q281" s="63"/>
      <c r="R281" s="68"/>
      <c r="S281" s="63"/>
      <c r="T281" s="63"/>
      <c r="U281" s="309"/>
      <c r="V281" s="63"/>
      <c r="W281" s="63"/>
      <c r="X281" s="63"/>
      <c r="Y281" s="63"/>
      <c r="Z281" s="63"/>
      <c r="AA281" s="8"/>
      <c r="AB281" s="142"/>
      <c r="AC281" s="142"/>
      <c r="AD281" s="142"/>
      <c r="AE281" s="142"/>
      <c r="AF281" s="203">
        <v>11</v>
      </c>
    </row>
    <row r="282" spans="1:32" s="203" customFormat="1" ht="11.45" customHeight="1">
      <c r="A282" s="572"/>
      <c r="B282" s="68"/>
      <c r="C282" s="68"/>
      <c r="K282" s="63"/>
      <c r="L282" s="68"/>
      <c r="M282" s="68"/>
      <c r="N282" s="63"/>
      <c r="O282" s="63"/>
      <c r="P282" s="63"/>
      <c r="Q282" s="63"/>
      <c r="R282" s="68"/>
      <c r="S282" s="63"/>
      <c r="T282" s="63"/>
      <c r="U282" s="309"/>
      <c r="V282" s="63"/>
      <c r="W282" s="63"/>
      <c r="X282" s="63"/>
      <c r="Y282" s="63"/>
      <c r="Z282" s="63"/>
      <c r="AA282" s="8"/>
      <c r="AB282" s="142"/>
      <c r="AC282" s="142"/>
      <c r="AD282" s="142"/>
      <c r="AE282" s="142"/>
      <c r="AF282" s="203">
        <v>11</v>
      </c>
    </row>
    <row r="283" spans="1:32" s="203" customFormat="1" ht="11.45" customHeight="1">
      <c r="A283" s="572"/>
      <c r="B283" s="68"/>
      <c r="C283" s="68"/>
      <c r="K283" s="63"/>
      <c r="L283" s="68"/>
      <c r="M283" s="68"/>
      <c r="N283" s="63"/>
      <c r="O283" s="63"/>
      <c r="P283" s="63"/>
      <c r="Q283" s="63"/>
      <c r="R283" s="68"/>
      <c r="S283" s="63"/>
      <c r="T283" s="63"/>
      <c r="U283" s="309"/>
      <c r="V283" s="63"/>
      <c r="W283" s="63"/>
      <c r="X283" s="63"/>
      <c r="Y283" s="63"/>
      <c r="Z283" s="63"/>
      <c r="AA283" s="8"/>
      <c r="AB283" s="142"/>
      <c r="AC283" s="142"/>
      <c r="AD283" s="142"/>
      <c r="AE283" s="142"/>
      <c r="AF283" s="203">
        <v>11</v>
      </c>
    </row>
    <row r="284" spans="1:32" s="203" customFormat="1" ht="11.45" customHeight="1">
      <c r="A284" s="572"/>
      <c r="B284" s="68"/>
      <c r="C284" s="68"/>
      <c r="K284" s="63"/>
      <c r="L284" s="68"/>
      <c r="M284" s="68"/>
      <c r="N284" s="63"/>
      <c r="O284" s="63"/>
      <c r="P284" s="63"/>
      <c r="Q284" s="63"/>
      <c r="R284" s="68"/>
      <c r="S284" s="63"/>
      <c r="T284" s="63"/>
      <c r="U284" s="309"/>
      <c r="V284" s="63"/>
      <c r="W284" s="63"/>
      <c r="X284" s="63"/>
      <c r="Y284" s="63"/>
      <c r="Z284" s="63"/>
      <c r="AA284" s="8"/>
      <c r="AB284" s="142"/>
      <c r="AC284" s="142"/>
      <c r="AD284" s="142"/>
      <c r="AE284" s="142"/>
      <c r="AF284" s="203">
        <v>11</v>
      </c>
    </row>
    <row r="285" spans="1:32" s="203" customFormat="1" ht="11.45" customHeight="1">
      <c r="A285" s="572"/>
      <c r="B285" s="68"/>
      <c r="C285" s="68"/>
      <c r="K285" s="63"/>
      <c r="L285" s="68"/>
      <c r="M285" s="68"/>
      <c r="N285" s="63"/>
      <c r="O285" s="63"/>
      <c r="P285" s="63"/>
      <c r="Q285" s="63"/>
      <c r="R285" s="68"/>
      <c r="S285" s="63"/>
      <c r="T285" s="63"/>
      <c r="U285" s="309"/>
      <c r="V285" s="63"/>
      <c r="W285" s="63"/>
      <c r="X285" s="63"/>
      <c r="Y285" s="63"/>
      <c r="Z285" s="63"/>
      <c r="AA285" s="8"/>
      <c r="AB285" s="142"/>
      <c r="AC285" s="142"/>
      <c r="AD285" s="142"/>
      <c r="AE285" s="142"/>
      <c r="AF285" s="203">
        <v>11</v>
      </c>
    </row>
    <row r="286" spans="1:32" s="203" customFormat="1" ht="11.45" customHeight="1">
      <c r="A286" s="572"/>
      <c r="B286" s="68"/>
      <c r="C286" s="68"/>
      <c r="K286" s="63"/>
      <c r="L286" s="68"/>
      <c r="M286" s="68"/>
      <c r="N286" s="63"/>
      <c r="O286" s="63"/>
      <c r="P286" s="63"/>
      <c r="Q286" s="63"/>
      <c r="R286" s="68"/>
      <c r="S286" s="63"/>
      <c r="T286" s="63"/>
      <c r="U286" s="309"/>
      <c r="V286" s="63"/>
      <c r="W286" s="63"/>
      <c r="X286" s="63"/>
      <c r="Y286" s="63"/>
      <c r="Z286" s="63"/>
      <c r="AA286" s="8"/>
      <c r="AB286" s="142"/>
      <c r="AC286" s="142"/>
      <c r="AD286" s="142"/>
      <c r="AE286" s="142"/>
      <c r="AF286" s="203">
        <v>11</v>
      </c>
    </row>
    <row r="287" spans="1:32" s="203" customFormat="1" ht="11.45" customHeight="1">
      <c r="A287" s="572"/>
      <c r="B287" s="68"/>
      <c r="C287" s="68"/>
      <c r="K287" s="63"/>
      <c r="L287" s="68"/>
      <c r="M287" s="68"/>
      <c r="N287" s="63"/>
      <c r="O287" s="63"/>
      <c r="P287" s="63"/>
      <c r="Q287" s="63"/>
      <c r="R287" s="68"/>
      <c r="S287" s="63"/>
      <c r="T287" s="63"/>
      <c r="U287" s="309"/>
      <c r="V287" s="63"/>
      <c r="W287" s="63"/>
      <c r="X287" s="63"/>
      <c r="Y287" s="63"/>
      <c r="Z287" s="63"/>
      <c r="AA287" s="8"/>
      <c r="AB287" s="142"/>
      <c r="AC287" s="142"/>
      <c r="AD287" s="142"/>
      <c r="AE287" s="142"/>
      <c r="AF287" s="203">
        <v>11</v>
      </c>
    </row>
    <row r="288" spans="1:32" s="203" customFormat="1" ht="11.45" customHeight="1">
      <c r="A288" s="572"/>
      <c r="B288" s="68"/>
      <c r="C288" s="68"/>
      <c r="K288" s="63"/>
      <c r="L288" s="68"/>
      <c r="M288" s="68"/>
      <c r="N288" s="63"/>
      <c r="O288" s="63"/>
      <c r="P288" s="63"/>
      <c r="Q288" s="63"/>
      <c r="R288" s="68"/>
      <c r="S288" s="63"/>
      <c r="T288" s="63"/>
      <c r="U288" s="309"/>
      <c r="V288" s="63"/>
      <c r="W288" s="63"/>
      <c r="X288" s="63"/>
      <c r="Y288" s="63"/>
      <c r="Z288" s="63"/>
      <c r="AA288" s="8"/>
      <c r="AB288" s="142"/>
      <c r="AC288" s="142"/>
      <c r="AD288" s="142"/>
      <c r="AE288" s="142"/>
      <c r="AF288" s="203">
        <v>11</v>
      </c>
    </row>
    <row r="289" spans="1:32" ht="11.45" customHeight="1">
      <c r="AF289" s="11">
        <v>11</v>
      </c>
    </row>
    <row r="290" spans="1:32" ht="11.45" customHeight="1">
      <c r="AF290" s="11">
        <v>11</v>
      </c>
    </row>
    <row r="291" spans="1:32" ht="11.45" customHeight="1">
      <c r="AF291" s="11">
        <v>11</v>
      </c>
    </row>
    <row r="292" spans="1:32" ht="11.45" customHeight="1">
      <c r="A292" s="575"/>
      <c r="B292" s="11"/>
      <c r="K292" s="11"/>
      <c r="N292" s="11"/>
      <c r="O292" s="11"/>
      <c r="P292" s="11"/>
      <c r="Q292" s="11"/>
      <c r="S292" s="11"/>
      <c r="T292" s="11"/>
      <c r="U292" s="11"/>
      <c r="V292" s="11"/>
      <c r="W292" s="11"/>
      <c r="X292" s="11"/>
      <c r="Y292" s="11"/>
      <c r="Z292" s="11"/>
      <c r="AA292" s="11"/>
      <c r="AB292" s="11"/>
      <c r="AC292" s="11"/>
      <c r="AD292" s="11"/>
      <c r="AE292" s="11"/>
      <c r="AF292" s="11">
        <v>11</v>
      </c>
    </row>
    <row r="293" spans="1:32" ht="11.45" customHeight="1">
      <c r="A293" s="575"/>
      <c r="B293" s="11"/>
      <c r="K293" s="11"/>
      <c r="N293" s="11"/>
      <c r="O293" s="11"/>
      <c r="P293" s="11"/>
      <c r="Q293" s="11"/>
      <c r="S293" s="11"/>
      <c r="T293" s="11"/>
      <c r="U293" s="11"/>
      <c r="V293" s="11"/>
      <c r="W293" s="11"/>
      <c r="X293" s="11"/>
      <c r="Y293" s="11"/>
      <c r="Z293" s="11"/>
      <c r="AA293" s="11"/>
      <c r="AB293" s="11"/>
      <c r="AC293" s="11"/>
      <c r="AD293" s="11"/>
      <c r="AE293" s="11"/>
      <c r="AF293" s="11">
        <v>11</v>
      </c>
    </row>
    <row r="294" spans="1:32" ht="11.45" customHeight="1">
      <c r="A294" s="575"/>
      <c r="B294" s="11"/>
      <c r="K294" s="11"/>
      <c r="N294" s="11"/>
      <c r="O294" s="11"/>
      <c r="P294" s="11"/>
      <c r="Q294" s="11"/>
      <c r="S294" s="11"/>
      <c r="T294" s="11"/>
      <c r="U294" s="11"/>
      <c r="V294" s="11"/>
      <c r="W294" s="11"/>
      <c r="X294" s="11"/>
      <c r="Y294" s="11"/>
      <c r="Z294" s="11"/>
      <c r="AA294" s="11"/>
      <c r="AB294" s="11"/>
      <c r="AC294" s="11"/>
      <c r="AD294" s="11"/>
      <c r="AE294" s="11"/>
      <c r="AF294" s="11">
        <v>11</v>
      </c>
    </row>
    <row r="295" spans="1:32" ht="11.45" customHeight="1">
      <c r="A295" s="575"/>
      <c r="B295" s="11"/>
      <c r="K295" s="11"/>
      <c r="N295" s="11"/>
      <c r="O295" s="11"/>
      <c r="P295" s="11"/>
      <c r="Q295" s="11"/>
      <c r="S295" s="11"/>
      <c r="T295" s="11"/>
      <c r="U295" s="11"/>
      <c r="V295" s="11"/>
      <c r="W295" s="11"/>
      <c r="X295" s="11"/>
      <c r="Y295" s="11"/>
      <c r="Z295" s="11"/>
      <c r="AA295" s="11"/>
      <c r="AB295" s="11"/>
      <c r="AC295" s="11"/>
      <c r="AD295" s="11"/>
      <c r="AE295" s="11"/>
      <c r="AF295" s="11">
        <v>11</v>
      </c>
    </row>
    <row r="296" spans="1:32" ht="11.45" customHeight="1">
      <c r="A296" s="575"/>
      <c r="B296" s="11"/>
      <c r="K296" s="11"/>
      <c r="N296" s="11"/>
      <c r="O296" s="11"/>
      <c r="P296" s="11"/>
      <c r="Q296" s="11"/>
      <c r="S296" s="11"/>
      <c r="T296" s="11"/>
      <c r="U296" s="11"/>
      <c r="V296" s="11"/>
      <c r="W296" s="11"/>
      <c r="X296" s="11"/>
      <c r="Y296" s="11"/>
      <c r="Z296" s="11"/>
      <c r="AA296" s="11"/>
      <c r="AB296" s="11"/>
      <c r="AC296" s="11"/>
      <c r="AD296" s="11"/>
      <c r="AE296" s="11"/>
      <c r="AF296" s="11">
        <v>11</v>
      </c>
    </row>
    <row r="297" spans="1:32" ht="11.45" customHeight="1">
      <c r="A297" s="575"/>
      <c r="B297" s="11"/>
      <c r="K297" s="11"/>
      <c r="N297" s="11"/>
      <c r="O297" s="11"/>
      <c r="P297" s="11"/>
      <c r="Q297" s="11"/>
      <c r="S297" s="11"/>
      <c r="T297" s="11"/>
      <c r="U297" s="11"/>
      <c r="V297" s="11"/>
      <c r="W297" s="11"/>
      <c r="X297" s="11"/>
      <c r="Y297" s="11"/>
      <c r="Z297" s="11"/>
      <c r="AA297" s="11"/>
      <c r="AB297" s="11"/>
      <c r="AC297" s="11"/>
      <c r="AD297" s="11"/>
      <c r="AE297" s="11"/>
      <c r="AF297" s="11">
        <v>11</v>
      </c>
    </row>
    <row r="298" spans="1:32" ht="11.45" customHeight="1">
      <c r="A298" s="575"/>
      <c r="B298" s="11"/>
      <c r="K298" s="11"/>
      <c r="N298" s="11"/>
      <c r="O298" s="11"/>
      <c r="P298" s="11"/>
      <c r="Q298" s="11"/>
      <c r="S298" s="11"/>
      <c r="T298" s="11"/>
      <c r="U298" s="11"/>
      <c r="V298" s="11"/>
      <c r="W298" s="11"/>
      <c r="X298" s="11"/>
      <c r="Y298" s="11"/>
      <c r="Z298" s="11"/>
      <c r="AA298" s="11"/>
      <c r="AB298" s="11"/>
      <c r="AC298" s="11"/>
      <c r="AD298" s="11"/>
      <c r="AE298" s="11"/>
      <c r="AF298" s="11">
        <v>11</v>
      </c>
    </row>
    <row r="299" spans="1:32" ht="11.45" customHeight="1">
      <c r="A299" s="575"/>
      <c r="B299" s="11"/>
      <c r="K299" s="11"/>
      <c r="N299" s="11"/>
      <c r="O299" s="11"/>
      <c r="P299" s="11"/>
      <c r="Q299" s="11"/>
      <c r="S299" s="11"/>
      <c r="T299" s="11"/>
      <c r="U299" s="11"/>
      <c r="V299" s="11"/>
      <c r="W299" s="11"/>
      <c r="X299" s="11"/>
      <c r="Y299" s="11"/>
      <c r="Z299" s="11"/>
      <c r="AA299" s="11"/>
      <c r="AB299" s="11"/>
      <c r="AC299" s="11"/>
      <c r="AD299" s="11"/>
      <c r="AE299" s="11"/>
      <c r="AF299" s="11">
        <v>11</v>
      </c>
    </row>
    <row r="300" spans="1:32" ht="11.45" customHeight="1">
      <c r="A300" s="575"/>
      <c r="B300" s="11"/>
      <c r="K300" s="11"/>
      <c r="N300" s="11"/>
      <c r="O300" s="11"/>
      <c r="P300" s="11"/>
      <c r="Q300" s="11"/>
      <c r="S300" s="11"/>
      <c r="T300" s="11"/>
      <c r="U300" s="11"/>
      <c r="V300" s="11"/>
      <c r="W300" s="11"/>
      <c r="X300" s="11"/>
      <c r="Y300" s="11"/>
      <c r="Z300" s="11"/>
      <c r="AA300" s="11"/>
      <c r="AB300" s="11"/>
      <c r="AC300" s="11"/>
      <c r="AD300" s="11"/>
      <c r="AE300" s="11"/>
      <c r="AF300" s="11">
        <v>11</v>
      </c>
    </row>
    <row r="301" spans="1:32" ht="11.45" customHeight="1">
      <c r="A301" s="575"/>
      <c r="B301" s="11"/>
      <c r="K301" s="11"/>
      <c r="N301" s="11"/>
      <c r="O301" s="11"/>
      <c r="P301" s="11"/>
      <c r="Q301" s="11"/>
      <c r="S301" s="11"/>
      <c r="T301" s="11"/>
      <c r="U301" s="11"/>
      <c r="V301" s="11"/>
      <c r="W301" s="11"/>
      <c r="X301" s="11"/>
      <c r="Y301" s="11"/>
      <c r="Z301" s="11"/>
      <c r="AA301" s="11"/>
      <c r="AB301" s="11"/>
      <c r="AC301" s="11"/>
      <c r="AD301" s="11"/>
      <c r="AE301" s="11"/>
      <c r="AF301" s="11">
        <v>11</v>
      </c>
    </row>
    <row r="302" spans="1:32" ht="11.45" customHeight="1">
      <c r="A302" s="575"/>
      <c r="B302" s="11"/>
      <c r="K302" s="11"/>
      <c r="N302" s="11"/>
      <c r="O302" s="11"/>
      <c r="P302" s="11"/>
      <c r="Q302" s="11"/>
      <c r="S302" s="11"/>
      <c r="T302" s="11"/>
      <c r="U302" s="11"/>
      <c r="V302" s="11"/>
      <c r="W302" s="11"/>
      <c r="X302" s="11"/>
      <c r="Y302" s="11"/>
      <c r="Z302" s="11"/>
      <c r="AA302" s="11"/>
      <c r="AB302" s="11"/>
      <c r="AC302" s="11"/>
      <c r="AD302" s="11"/>
      <c r="AE302" s="11"/>
      <c r="AF302" s="11">
        <v>11</v>
      </c>
    </row>
    <row r="303" spans="1:32" ht="11.25" hidden="1" customHeight="1">
      <c r="A303" s="572" t="s">
        <v>82</v>
      </c>
      <c r="B303" s="63">
        <v>0</v>
      </c>
      <c r="C303" s="68">
        <v>0</v>
      </c>
      <c r="D303" s="11">
        <v>3</v>
      </c>
      <c r="E303" s="11">
        <v>7</v>
      </c>
      <c r="F303" s="11">
        <v>54</v>
      </c>
      <c r="G303" s="11">
        <v>10</v>
      </c>
      <c r="H303" s="11">
        <v>0</v>
      </c>
      <c r="I303" s="11">
        <v>40</v>
      </c>
      <c r="J303" s="11">
        <v>102</v>
      </c>
      <c r="K303" s="63">
        <v>9</v>
      </c>
      <c r="L303" s="68">
        <v>5</v>
      </c>
      <c r="M303" s="68">
        <v>3</v>
      </c>
      <c r="N303" s="63">
        <v>3</v>
      </c>
      <c r="O303" s="63">
        <v>3</v>
      </c>
      <c r="P303" s="63">
        <v>3</v>
      </c>
      <c r="Q303" s="63">
        <v>3</v>
      </c>
      <c r="R303" s="68">
        <v>10</v>
      </c>
      <c r="S303" s="63">
        <v>34</v>
      </c>
      <c r="T303" s="63">
        <v>9</v>
      </c>
      <c r="U303" s="309">
        <v>8</v>
      </c>
      <c r="V303" s="63">
        <v>8</v>
      </c>
      <c r="W303" s="63">
        <v>8</v>
      </c>
      <c r="X303" s="63">
        <v>8</v>
      </c>
      <c r="Y303" s="63">
        <v>8</v>
      </c>
      <c r="Z303" s="63">
        <v>8</v>
      </c>
      <c r="AA303" s="8">
        <v>8</v>
      </c>
      <c r="AB303" s="8">
        <v>8</v>
      </c>
      <c r="AC303" s="8">
        <v>8</v>
      </c>
      <c r="AD303" s="8">
        <v>8</v>
      </c>
      <c r="AE303" s="8">
        <v>8</v>
      </c>
      <c r="AF303" s="1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61CD3-3E01-EC5D-2B06-F3B541EECAB4}">
  <sheetPr>
    <tabColor theme="9" tint="-0.249977111117893"/>
  </sheetPr>
  <dimension ref="A1:CF29"/>
  <sheetViews>
    <sheetView showGridLines="0" topLeftCell="C4" zoomScale="90" workbookViewId="0"/>
  </sheetViews>
  <sheetFormatPr defaultColWidth="9.140625" defaultRowHeight="11.25" customHeight="1"/>
  <cols>
    <col min="1" max="1" width="14.7109375" style="355"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56" t="str">
        <f>FHD20_NAME_FORM</f>
        <v>Форма 11. Информация о расходах на капитальный и текущий ремонт основных средств</v>
      </c>
      <c r="F5" s="1256"/>
      <c r="G5" s="1256"/>
      <c r="H5" s="1256"/>
      <c r="I5" s="1256"/>
      <c r="J5" s="1256"/>
      <c r="K5" s="1256"/>
      <c r="L5" s="58"/>
      <c r="M5" s="58"/>
      <c r="CF5" s="11">
        <v>28</v>
      </c>
    </row>
    <row r="6" spans="1:84" s="11" customFormat="1" ht="16.899999999999999" customHeight="1">
      <c r="A6" s="355"/>
      <c r="B6" s="8"/>
      <c r="D6" s="622"/>
      <c r="E6" s="1229" t="str">
        <f>IF(org=0,"Не определено",org)</f>
        <v>ООО "Инженерные сети"</v>
      </c>
      <c r="F6" s="1229"/>
      <c r="G6" s="1229"/>
      <c r="H6" s="1229"/>
      <c r="I6" s="1229"/>
      <c r="J6" s="1229"/>
      <c r="K6" s="1229"/>
      <c r="L6" s="58"/>
      <c r="M6" s="58"/>
      <c r="U6" s="68"/>
      <c r="V6" s="68"/>
      <c r="W6" s="8"/>
      <c r="X6" s="8"/>
      <c r="Y6" s="8"/>
      <c r="Z6" s="8"/>
      <c r="AA6" s="8"/>
      <c r="CF6" s="11">
        <v>16</v>
      </c>
    </row>
    <row r="7" spans="1:84" ht="11.45" customHeight="1">
      <c r="G7" s="58"/>
      <c r="H7" s="58"/>
      <c r="I7" s="58"/>
      <c r="J7" s="58"/>
      <c r="K7" s="356"/>
      <c r="L7" s="356"/>
      <c r="M7" s="356"/>
      <c r="R7" s="435"/>
      <c r="CF7" s="11">
        <v>11</v>
      </c>
    </row>
    <row r="8" spans="1:84" s="203" customFormat="1" ht="4.1500000000000004" customHeight="1">
      <c r="A8" s="358"/>
      <c r="B8" s="142"/>
      <c r="G8" s="560"/>
      <c r="H8" s="560"/>
      <c r="I8" s="560"/>
      <c r="J8" s="560"/>
      <c r="K8" s="597"/>
      <c r="L8" s="597"/>
      <c r="M8" s="597"/>
      <c r="R8" s="598"/>
      <c r="U8" s="68"/>
      <c r="V8" s="68"/>
      <c r="W8" s="142"/>
      <c r="X8" s="142"/>
      <c r="Y8" s="142"/>
      <c r="Z8" s="142"/>
      <c r="AA8" s="142"/>
      <c r="CF8" s="203">
        <v>4</v>
      </c>
    </row>
    <row r="9" spans="1:84" ht="19.899999999999999" customHeight="1">
      <c r="D9" s="67"/>
      <c r="E9" s="1129" t="s">
        <v>304</v>
      </c>
      <c r="F9" s="1135"/>
      <c r="G9" s="1135"/>
      <c r="H9" s="1135"/>
      <c r="I9" s="1135"/>
      <c r="J9" s="1135"/>
      <c r="K9" s="1135"/>
      <c r="L9" s="1135"/>
      <c r="M9" s="1135"/>
      <c r="N9" s="1135"/>
      <c r="O9" s="1135"/>
      <c r="P9" s="1135"/>
      <c r="Q9" s="1135"/>
      <c r="R9" s="1128"/>
      <c r="S9" s="1148" t="s">
        <v>305</v>
      </c>
      <c r="T9" s="196"/>
      <c r="CF9" s="11">
        <v>19</v>
      </c>
    </row>
    <row r="10" spans="1:84" ht="48.2" customHeight="1">
      <c r="D10" s="316" t="s">
        <v>88</v>
      </c>
      <c r="E10" s="1148" t="s">
        <v>88</v>
      </c>
      <c r="F10" s="1148"/>
      <c r="G10" s="41" t="s">
        <v>306</v>
      </c>
      <c r="H10" s="1148" t="s">
        <v>88</v>
      </c>
      <c r="I10" s="1148"/>
      <c r="J10" s="41" t="s">
        <v>606</v>
      </c>
      <c r="K10" s="41" t="s">
        <v>607</v>
      </c>
      <c r="L10" s="1148" t="s">
        <v>88</v>
      </c>
      <c r="M10" s="1148"/>
      <c r="N10" s="41" t="s">
        <v>608</v>
      </c>
      <c r="O10" s="41" t="s">
        <v>609</v>
      </c>
      <c r="P10" s="41" t="s">
        <v>610</v>
      </c>
      <c r="Q10" s="41" t="s">
        <v>611</v>
      </c>
      <c r="R10" s="41" t="s">
        <v>612</v>
      </c>
      <c r="S10" s="1148"/>
      <c r="T10" s="196"/>
      <c r="CF10" s="11">
        <v>46</v>
      </c>
    </row>
    <row r="11" spans="1:84" s="68" customFormat="1" ht="15" hidden="1" customHeight="1">
      <c r="A11" s="313"/>
      <c r="D11" s="313" t="s">
        <v>115</v>
      </c>
      <c r="E11" s="313"/>
      <c r="F11" s="313" t="s">
        <v>103</v>
      </c>
      <c r="G11" s="313" t="s">
        <v>90</v>
      </c>
      <c r="H11" s="313"/>
      <c r="I11" s="313" t="s">
        <v>91</v>
      </c>
      <c r="J11" s="313" t="s">
        <v>116</v>
      </c>
      <c r="K11" s="313" t="s">
        <v>92</v>
      </c>
      <c r="L11" s="313"/>
      <c r="M11" s="313" t="s">
        <v>93</v>
      </c>
      <c r="N11" s="313" t="s">
        <v>117</v>
      </c>
      <c r="O11" s="313" t="s">
        <v>154</v>
      </c>
      <c r="P11" s="313" t="s">
        <v>155</v>
      </c>
      <c r="Q11" s="313" t="s">
        <v>156</v>
      </c>
      <c r="R11" s="313" t="s">
        <v>157</v>
      </c>
      <c r="S11" s="313" t="s">
        <v>158</v>
      </c>
      <c r="CF11" s="68">
        <v>0</v>
      </c>
    </row>
    <row r="12" spans="1:84" s="11" customFormat="1" ht="1.1499999999999999" customHeight="1">
      <c r="A12" s="355"/>
      <c r="B12" s="8"/>
      <c r="D12" s="313"/>
      <c r="E12" s="55"/>
      <c r="F12" s="55"/>
      <c r="Q12" s="79"/>
      <c r="R12" s="357"/>
      <c r="T12" s="196"/>
      <c r="U12" s="68"/>
      <c r="V12" s="68"/>
      <c r="W12" s="8"/>
      <c r="X12" s="8"/>
      <c r="Y12" s="8"/>
      <c r="Z12" s="8"/>
      <c r="AA12" s="8"/>
      <c r="CF12" s="11">
        <v>1</v>
      </c>
    </row>
    <row r="13" spans="1:84" s="203" customFormat="1" ht="1.1499999999999999" customHeight="1">
      <c r="A13" s="358"/>
      <c r="B13" s="142"/>
      <c r="D13" s="313" t="s">
        <v>380</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122</v>
      </c>
      <c r="B14"/>
      <c r="C14"/>
      <c r="D14" s="1366" t="s">
        <v>115</v>
      </c>
      <c r="E14" s="1373" t="s">
        <v>111</v>
      </c>
      <c r="F14" s="1374"/>
      <c r="G14" s="1375"/>
      <c r="H14" s="1369" t="str">
        <f>IF(A14="","",INDEX(DIFFERENTIATION_UNMERGE_VD,MATCH(A14,DIFFERENTIATION_ID_DIFF,0)))</f>
        <v>Производство тепловой энергии. Некомбинированная выработка</v>
      </c>
      <c r="I14" s="1369"/>
      <c r="J14" s="1369"/>
      <c r="K14" s="1369"/>
      <c r="L14" s="1369"/>
      <c r="M14" s="1369"/>
      <c r="N14" s="1369"/>
      <c r="O14" s="1369"/>
      <c r="P14" s="1369"/>
      <c r="Q14" s="1369"/>
      <c r="R14" s="1369"/>
      <c r="S14" s="416"/>
      <c r="T14" s="414"/>
      <c r="U14" s="104"/>
      <c r="V14" s="104"/>
      <c r="W14" s="62"/>
      <c r="X14" s="62"/>
      <c r="Y14" s="62"/>
      <c r="Z14" s="62"/>
      <c r="AA14" s="104"/>
      <c r="AB14" s="62"/>
      <c r="AC14" s="1372"/>
      <c r="AD14" s="62"/>
      <c r="AE14" s="359" t="s">
        <v>22</v>
      </c>
      <c r="AF14" s="359"/>
      <c r="AG14" s="360" t="s">
        <v>613</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67"/>
      <c r="E15" s="1373" t="s">
        <v>568</v>
      </c>
      <c r="F15" s="1374"/>
      <c r="G15" s="1375"/>
      <c r="H15" s="1369" t="str">
        <f>IF(A14="","",INDEX(DIFFERENTIATION_UNMERGE_AREA,MATCH(A14,DIFFERENTIATION_ID_DIFF,0)))</f>
        <v>Территория 1</v>
      </c>
      <c r="I15" s="1369"/>
      <c r="J15" s="1369"/>
      <c r="K15" s="1369"/>
      <c r="L15" s="1369"/>
      <c r="M15" s="1369"/>
      <c r="N15" s="1369"/>
      <c r="O15" s="1369"/>
      <c r="P15" s="1369"/>
      <c r="Q15" s="1369"/>
      <c r="R15" s="1369"/>
      <c r="S15" s="416"/>
      <c r="T15" s="414"/>
      <c r="U15" s="104"/>
      <c r="V15" s="104"/>
      <c r="W15" s="62"/>
      <c r="X15" s="62"/>
      <c r="Y15" s="62"/>
      <c r="Z15" s="62"/>
      <c r="AA15" s="104"/>
      <c r="AB15" s="62"/>
      <c r="AC15" s="1372"/>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67"/>
      <c r="E16" s="1373" t="s">
        <v>569</v>
      </c>
      <c r="F16" s="1374"/>
      <c r="G16" s="1375"/>
      <c r="H16" s="1369" t="str">
        <f>IF(A14="","",INDEX(DIFFERENTIATION_UNMERGE_SYSTEM,MATCH(A14,DIFFERENTIATION_ID_DIFF,0)))</f>
        <v>без дифференциации</v>
      </c>
      <c r="I16" s="1369"/>
      <c r="J16" s="1369"/>
      <c r="K16" s="1369"/>
      <c r="L16" s="1369"/>
      <c r="M16" s="1369"/>
      <c r="N16" s="1369"/>
      <c r="O16" s="1369"/>
      <c r="P16" s="1369"/>
      <c r="Q16" s="1369"/>
      <c r="R16" s="1369"/>
      <c r="S16" s="416"/>
      <c r="T16" s="414"/>
      <c r="U16" s="104"/>
      <c r="V16" s="104"/>
      <c r="W16" s="62"/>
      <c r="X16" s="62"/>
      <c r="Y16" s="62"/>
      <c r="Z16" s="62"/>
      <c r="AA16" s="104"/>
      <c r="AB16" s="62"/>
      <c r="AC16" s="1372"/>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67"/>
      <c r="E17" s="1371" t="s">
        <v>614</v>
      </c>
      <c r="F17" s="1371"/>
      <c r="G17" s="1371"/>
      <c r="H17" s="1371"/>
      <c r="I17" s="1371"/>
      <c r="J17" s="1371"/>
      <c r="K17" s="1371"/>
      <c r="L17" s="1371"/>
      <c r="M17" s="1371"/>
      <c r="N17" s="1371"/>
      <c r="O17" s="1371"/>
      <c r="P17" s="1371"/>
      <c r="Q17" s="322">
        <f>SUMIF(T18:T19,"i",Q18:Q19)</f>
        <v>0</v>
      </c>
      <c r="R17" s="596"/>
      <c r="S17" s="153" t="s">
        <v>615</v>
      </c>
      <c r="T17" s="414" t="s">
        <v>616</v>
      </c>
      <c r="U17" s="1279">
        <v>1</v>
      </c>
      <c r="V17" s="1279" t="str">
        <f>INDEX(B_FHD_FLAG_INDEX_1,1,MATCH(A14,B_FHD_FLAG_DIFFERENTIATION,0))</f>
        <v>отсутствует</v>
      </c>
      <c r="W17" s="63"/>
      <c r="X17" s="63"/>
      <c r="Y17" s="63"/>
      <c r="Z17" s="63"/>
      <c r="AA17" s="68"/>
      <c r="AB17" s="63"/>
      <c r="AC17" s="1372"/>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67"/>
      <c r="E18" s="362"/>
      <c r="F18" s="362">
        <v>0</v>
      </c>
      <c r="G18" s="362"/>
      <c r="H18" s="362"/>
      <c r="I18" s="362"/>
      <c r="J18" s="362"/>
      <c r="K18" s="362"/>
      <c r="L18" s="362"/>
      <c r="M18" s="362"/>
      <c r="N18" s="362"/>
      <c r="O18" s="362"/>
      <c r="P18" s="362"/>
      <c r="Q18" s="362"/>
      <c r="R18" s="362"/>
      <c r="S18" s="317"/>
      <c r="T18" s="415"/>
      <c r="U18" s="1279"/>
      <c r="V18" s="1279"/>
      <c r="W18" s="68"/>
      <c r="X18" s="68"/>
      <c r="Y18" s="68"/>
      <c r="Z18" s="68"/>
      <c r="AA18" s="68"/>
      <c r="AB18" s="63"/>
      <c r="AC18" s="1372"/>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67"/>
      <c r="E19" s="184" t="s">
        <v>22</v>
      </c>
      <c r="F19" s="110" t="s">
        <v>22</v>
      </c>
      <c r="G19" s="110" t="s">
        <v>22</v>
      </c>
      <c r="H19" s="52" t="s">
        <v>22</v>
      </c>
      <c r="I19" s="52"/>
      <c r="J19" s="52"/>
      <c r="K19" s="52"/>
      <c r="L19" s="52"/>
      <c r="M19" s="52"/>
      <c r="N19" s="52"/>
      <c r="O19" s="52"/>
      <c r="P19" s="52"/>
      <c r="Q19" s="52"/>
      <c r="R19" s="352"/>
      <c r="S19" s="599"/>
      <c r="T19" s="415"/>
      <c r="U19" s="1279"/>
      <c r="V19" s="1279"/>
      <c r="W19" s="63"/>
      <c r="X19" s="63"/>
      <c r="Y19" s="63"/>
      <c r="Z19" s="63"/>
      <c r="AA19" s="68"/>
      <c r="AB19" s="63"/>
      <c r="AC19" s="1372"/>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67"/>
      <c r="E20" s="1371" t="s">
        <v>617</v>
      </c>
      <c r="F20" s="1371"/>
      <c r="G20" s="1371"/>
      <c r="H20" s="1371"/>
      <c r="I20" s="1371"/>
      <c r="J20" s="1371"/>
      <c r="K20" s="1371"/>
      <c r="L20" s="1371"/>
      <c r="M20" s="1371"/>
      <c r="N20" s="1371"/>
      <c r="O20" s="1371"/>
      <c r="P20" s="1371"/>
      <c r="Q20" s="322">
        <f>SUMIF(T21:T22,"i",Q21:Q22)</f>
        <v>0</v>
      </c>
      <c r="R20" s="596"/>
      <c r="S20" s="153" t="s">
        <v>618</v>
      </c>
      <c r="T20" s="414" t="s">
        <v>616</v>
      </c>
      <c r="U20" s="1279">
        <v>2</v>
      </c>
      <c r="V20" s="1279"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67"/>
      <c r="E21" s="362"/>
      <c r="F21" s="362">
        <v>0</v>
      </c>
      <c r="G21" s="362"/>
      <c r="H21" s="362"/>
      <c r="I21" s="362"/>
      <c r="J21" s="362"/>
      <c r="K21" s="362"/>
      <c r="L21" s="362"/>
      <c r="M21" s="362"/>
      <c r="N21" s="362"/>
      <c r="O21" s="362"/>
      <c r="P21" s="362"/>
      <c r="Q21" s="362"/>
      <c r="R21" s="362"/>
      <c r="S21" s="317"/>
      <c r="T21" s="415"/>
      <c r="U21" s="1279"/>
      <c r="V21" s="1279"/>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68"/>
      <c r="E22" s="184" t="s">
        <v>22</v>
      </c>
      <c r="F22" s="110" t="s">
        <v>22</v>
      </c>
      <c r="G22" s="110" t="s">
        <v>22</v>
      </c>
      <c r="H22" s="52" t="s">
        <v>22</v>
      </c>
      <c r="I22" s="52"/>
      <c r="J22" s="52"/>
      <c r="K22" s="52"/>
      <c r="L22" s="52"/>
      <c r="M22" s="52"/>
      <c r="N22" s="52"/>
      <c r="O22" s="52"/>
      <c r="P22" s="52"/>
      <c r="Q22" s="52"/>
      <c r="R22" s="352"/>
      <c r="S22" s="599"/>
      <c r="T22" s="415"/>
      <c r="U22" s="1279"/>
      <c r="V22" s="1279"/>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9.899999999999999" customHeight="1">
      <c r="D23" s="618"/>
      <c r="E23" s="618"/>
      <c r="F23" s="618"/>
      <c r="G23" s="618"/>
      <c r="H23" s="618"/>
      <c r="I23" s="618"/>
      <c r="J23" s="618"/>
      <c r="K23" s="618"/>
      <c r="L23" s="618"/>
      <c r="M23" s="618"/>
      <c r="N23" s="618"/>
      <c r="O23" s="618"/>
      <c r="P23" s="618"/>
      <c r="Q23" s="618"/>
      <c r="R23" s="618"/>
      <c r="S23" s="618"/>
      <c r="T23" s="196"/>
      <c r="CF23" s="11">
        <v>19</v>
      </c>
    </row>
    <row r="24" spans="1:84" ht="11.45" customHeight="1">
      <c r="CF24" s="11">
        <v>11</v>
      </c>
    </row>
    <row r="25" spans="1:84" ht="11.45" customHeight="1">
      <c r="D25" s="78"/>
      <c r="E25" s="78"/>
      <c r="F25" s="78"/>
      <c r="G25" s="35"/>
      <c r="CF25" s="11">
        <v>11</v>
      </c>
    </row>
    <row r="26" spans="1:84" ht="11.45" customHeight="1">
      <c r="CF26" s="11">
        <v>11</v>
      </c>
    </row>
    <row r="27" spans="1:84" ht="11.45" customHeight="1">
      <c r="D27" s="372"/>
      <c r="E27" s="1370"/>
      <c r="F27" s="1370"/>
      <c r="G27" s="1370"/>
      <c r="H27" s="1370"/>
      <c r="I27" s="1370"/>
      <c r="J27" s="1370"/>
      <c r="K27" s="1370"/>
      <c r="L27" s="1370"/>
      <c r="M27" s="1370"/>
      <c r="N27" s="1370"/>
      <c r="O27" s="1370"/>
      <c r="P27" s="1370"/>
      <c r="Q27" s="1370"/>
      <c r="R27" s="1370"/>
      <c r="CF27" s="11">
        <v>11</v>
      </c>
    </row>
    <row r="28" spans="1:84" ht="11.45" customHeight="1">
      <c r="CF28" s="11">
        <v>11</v>
      </c>
    </row>
    <row r="29" spans="1:84" ht="11.25" hidden="1" customHeight="1">
      <c r="A29" s="355" t="s">
        <v>82</v>
      </c>
      <c r="B29" s="8">
        <v>0</v>
      </c>
      <c r="C29" s="11">
        <v>3</v>
      </c>
      <c r="D29" s="11">
        <v>0</v>
      </c>
      <c r="E29" s="11">
        <v>7</v>
      </c>
      <c r="F29" s="11">
        <v>7</v>
      </c>
      <c r="G29" s="11">
        <v>29</v>
      </c>
      <c r="H29" s="11">
        <v>3</v>
      </c>
      <c r="I29" s="11">
        <v>5</v>
      </c>
      <c r="J29" s="11">
        <v>24</v>
      </c>
      <c r="K29" s="11">
        <v>24</v>
      </c>
      <c r="L29" s="11">
        <v>3</v>
      </c>
      <c r="M29" s="11">
        <v>6</v>
      </c>
      <c r="N29" s="11">
        <v>25</v>
      </c>
      <c r="O29" s="11">
        <v>18</v>
      </c>
      <c r="P29" s="11">
        <v>18</v>
      </c>
      <c r="Q29" s="11">
        <v>18</v>
      </c>
      <c r="R29" s="11">
        <v>18</v>
      </c>
      <c r="S29" s="11">
        <v>93</v>
      </c>
      <c r="T29" s="11">
        <v>10</v>
      </c>
      <c r="U29" s="68">
        <v>10</v>
      </c>
      <c r="V29" s="68">
        <v>11</v>
      </c>
      <c r="W29" s="8">
        <v>10</v>
      </c>
      <c r="X29" s="8">
        <v>10</v>
      </c>
      <c r="Y29" s="8">
        <v>10</v>
      </c>
      <c r="Z29" s="8">
        <v>10</v>
      </c>
      <c r="AA29" s="8">
        <v>10</v>
      </c>
      <c r="AB29" s="11">
        <v>8</v>
      </c>
      <c r="AC29" s="11">
        <v>8</v>
      </c>
      <c r="AD29" s="11">
        <v>8</v>
      </c>
      <c r="AE29" s="11">
        <v>8</v>
      </c>
      <c r="AF29" s="11">
        <v>8</v>
      </c>
      <c r="AG29" s="11">
        <v>8</v>
      </c>
      <c r="AH29" s="11">
        <v>8</v>
      </c>
      <c r="AI29" s="11">
        <v>8</v>
      </c>
      <c r="AJ29" s="11">
        <v>8</v>
      </c>
      <c r="AK29" s="11">
        <v>8</v>
      </c>
      <c r="AL29" s="11">
        <v>8</v>
      </c>
      <c r="AM29" s="11">
        <v>8</v>
      </c>
      <c r="AN29" s="11">
        <v>8</v>
      </c>
      <c r="AO29" s="11">
        <v>8</v>
      </c>
      <c r="AP29" s="11">
        <v>8</v>
      </c>
      <c r="AQ29" s="11">
        <v>8</v>
      </c>
      <c r="AR29" s="11">
        <v>8</v>
      </c>
      <c r="AS29" s="11">
        <v>8</v>
      </c>
      <c r="AT29" s="11">
        <v>8</v>
      </c>
      <c r="AU29" s="11">
        <v>8</v>
      </c>
      <c r="AV29" s="11">
        <v>8</v>
      </c>
      <c r="AW29" s="11">
        <v>8</v>
      </c>
      <c r="AX29" s="11">
        <v>8</v>
      </c>
      <c r="AY29" s="11">
        <v>8</v>
      </c>
      <c r="AZ29" s="11">
        <v>8</v>
      </c>
      <c r="BA29" s="11">
        <v>8</v>
      </c>
      <c r="BB29" s="11">
        <v>8</v>
      </c>
      <c r="BC29" s="11">
        <v>8</v>
      </c>
      <c r="BD29" s="11">
        <v>8</v>
      </c>
      <c r="BE29" s="11">
        <v>8</v>
      </c>
      <c r="BF29" s="11">
        <v>8</v>
      </c>
      <c r="BG29" s="11">
        <v>8</v>
      </c>
      <c r="BH29" s="11">
        <v>8</v>
      </c>
      <c r="BI29" s="11">
        <v>8</v>
      </c>
      <c r="BJ29" s="11">
        <v>8</v>
      </c>
      <c r="BK29" s="11">
        <v>8</v>
      </c>
      <c r="BL29" s="11">
        <v>8</v>
      </c>
      <c r="BM29" s="11">
        <v>8</v>
      </c>
      <c r="BN29" s="11">
        <v>8</v>
      </c>
      <c r="BO29" s="11">
        <v>8</v>
      </c>
      <c r="BP29" s="11">
        <v>8</v>
      </c>
      <c r="BQ29" s="11">
        <v>8</v>
      </c>
      <c r="BR29" s="11">
        <v>8</v>
      </c>
      <c r="BS29" s="11">
        <v>8</v>
      </c>
      <c r="BT29" s="11">
        <v>8</v>
      </c>
      <c r="BU29" s="11">
        <v>8</v>
      </c>
      <c r="BV29" s="11">
        <v>8</v>
      </c>
      <c r="BW29" s="11">
        <v>8</v>
      </c>
      <c r="BX29" s="11">
        <v>8</v>
      </c>
      <c r="BY29" s="11">
        <v>8</v>
      </c>
      <c r="BZ29" s="11">
        <v>8</v>
      </c>
      <c r="CA29" s="11">
        <v>8</v>
      </c>
      <c r="CB29" s="11">
        <v>8</v>
      </c>
      <c r="CC29" s="11">
        <v>8</v>
      </c>
      <c r="CD29" s="11">
        <v>8</v>
      </c>
      <c r="CE29" s="11">
        <v>8</v>
      </c>
      <c r="CF29" s="1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5222-2CFD-C345-5D9F-1C572156B134}">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572" hidden="1" customWidth="1"/>
    <col min="6" max="6" width="16.85546875" style="63" hidden="1" customWidth="1"/>
    <col min="7" max="7" width="5.5703125" style="68"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4" width="9.7109375" style="63" hidden="1" customWidth="1"/>
    <col min="15" max="15" width="102" style="11" customWidth="1"/>
    <col min="16" max="16" width="9" style="63" customWidth="1"/>
    <col min="17" max="17" width="5" style="68" customWidth="1"/>
    <col min="18" max="18" width="3" style="68" customWidth="1"/>
    <col min="19" max="22" width="3" style="63" customWidth="1"/>
    <col min="23" max="23" width="10" style="68" customWidth="1"/>
    <col min="24" max="24" width="34" style="63" customWidth="1"/>
    <col min="25" max="25" width="9" style="63" customWidth="1"/>
    <col min="26" max="26" width="8" style="309" customWidth="1"/>
    <col min="27" max="31" width="8" style="63" customWidth="1"/>
    <col min="32" max="36" width="8" style="8" customWidth="1"/>
    <col min="37" max="37" width="5.42578125" style="11" hidden="1" customWidth="1"/>
  </cols>
  <sheetData>
    <row r="1" spans="1:37" s="63" customFormat="1" ht="33.75" hidden="1" customHeight="1">
      <c r="A1" s="572"/>
      <c r="B1" s="572"/>
      <c r="C1" s="572"/>
      <c r="D1" s="572"/>
      <c r="E1" s="572"/>
      <c r="G1" s="68"/>
      <c r="L1" s="63">
        <v>4</v>
      </c>
      <c r="M1" s="63">
        <v>4</v>
      </c>
      <c r="Q1" s="68"/>
      <c r="R1" s="68"/>
      <c r="W1" s="68"/>
      <c r="AK1" s="63" t="s">
        <v>14</v>
      </c>
    </row>
    <row r="2" spans="1:37" s="63" customFormat="1" ht="78.75" hidden="1" customHeight="1">
      <c r="A2" s="572"/>
      <c r="B2" s="1086" t="s">
        <v>619</v>
      </c>
      <c r="C2" s="1086" t="s">
        <v>620</v>
      </c>
      <c r="D2" s="1085" t="s">
        <v>621</v>
      </c>
      <c r="E2" s="1088" t="e">
        <f>RIGHT(I2,LEN(I2)-SEARCH("#",SUBSTITUTE(I2,".","#",LEN(I2)-LEN(SUBSTITUTE(I2,".","")))))</f>
        <v>#VALUE!</v>
      </c>
      <c r="F2" s="1088">
        <f>J2</f>
        <v>0</v>
      </c>
      <c r="G2" s="68"/>
      <c r="H2" s="344"/>
      <c r="I2" s="43"/>
      <c r="J2" s="305"/>
      <c r="K2" s="395" t="s">
        <v>560</v>
      </c>
      <c r="L2" s="306"/>
      <c r="M2" s="306"/>
      <c r="N2" s="308"/>
      <c r="O2" s="67" t="s">
        <v>561</v>
      </c>
      <c r="P2" s="308"/>
      <c r="Q2" s="68"/>
      <c r="R2" s="68"/>
      <c r="W2" s="68"/>
      <c r="Z2" s="309"/>
      <c r="AF2" s="8"/>
      <c r="AG2" s="8"/>
      <c r="AH2" s="8"/>
      <c r="AI2" s="8"/>
      <c r="AJ2" s="8"/>
      <c r="AK2" s="63">
        <v>0</v>
      </c>
    </row>
    <row r="3" spans="1:37" ht="11.25" hidden="1" customHeight="1">
      <c r="E3" s="1084" t="s">
        <v>622</v>
      </c>
      <c r="L3" s="11">
        <f>0</f>
        <v>0</v>
      </c>
      <c r="M3" s="11">
        <v>1</v>
      </c>
      <c r="AK3" s="11">
        <v>0</v>
      </c>
    </row>
    <row r="4" spans="1:37" s="8" customFormat="1" ht="11.25" hidden="1" customHeight="1">
      <c r="A4" s="572"/>
      <c r="B4" s="572"/>
      <c r="C4" s="572"/>
      <c r="E4" s="572"/>
      <c r="F4" s="63"/>
      <c r="G4" s="68"/>
      <c r="N4" s="63"/>
      <c r="O4" s="8">
        <v>4</v>
      </c>
      <c r="P4" s="63"/>
      <c r="Q4" s="68"/>
      <c r="R4" s="68"/>
      <c r="S4" s="63"/>
      <c r="T4" s="63"/>
      <c r="U4" s="63"/>
      <c r="V4" s="63"/>
      <c r="W4" s="68"/>
      <c r="X4" s="63"/>
      <c r="Y4" s="63"/>
      <c r="Z4" s="309"/>
      <c r="AA4" s="63"/>
      <c r="AB4" s="63"/>
      <c r="AC4" s="63"/>
      <c r="AD4" s="63"/>
      <c r="AE4" s="63"/>
      <c r="AK4" s="8">
        <v>0</v>
      </c>
    </row>
    <row r="5" spans="1:37" ht="11.45" customHeight="1">
      <c r="AK5" s="11">
        <v>11</v>
      </c>
    </row>
    <row r="6" spans="1:37" ht="57.75" customHeight="1">
      <c r="I6" s="1206" t="s">
        <v>623</v>
      </c>
      <c r="J6" s="1206"/>
      <c r="K6" s="1206"/>
      <c r="L6" s="1206"/>
      <c r="M6" s="1206"/>
      <c r="O6" s="59"/>
      <c r="AK6" s="11">
        <v>55</v>
      </c>
    </row>
    <row r="7" spans="1:37" ht="25.15" customHeight="1">
      <c r="I7" s="1229" t="str">
        <f>IF(org=0,"Не определено",org)</f>
        <v>ООО "Инженерные сети"</v>
      </c>
      <c r="J7" s="1229"/>
      <c r="K7" s="1229"/>
      <c r="L7" s="1229"/>
      <c r="M7" s="1229"/>
      <c r="AK7" s="11">
        <v>24</v>
      </c>
    </row>
    <row r="8" spans="1:37" ht="11.45" customHeight="1">
      <c r="I8" s="668"/>
      <c r="J8" s="668"/>
      <c r="K8" s="668"/>
      <c r="L8" s="668"/>
      <c r="M8" s="668"/>
      <c r="AK8" s="11">
        <v>11</v>
      </c>
    </row>
    <row r="9" spans="1:37" s="68" customFormat="1" ht="30" hidden="1" customHeight="1">
      <c r="A9" s="313"/>
      <c r="B9" s="313"/>
      <c r="C9" s="313"/>
      <c r="E9" s="313"/>
      <c r="L9" s="514"/>
      <c r="M9" s="514" t="s">
        <v>122</v>
      </c>
      <c r="AK9" s="68">
        <v>1</v>
      </c>
    </row>
    <row r="10" spans="1:37" ht="11.45" customHeight="1">
      <c r="E10" s="1083" t="s">
        <v>624</v>
      </c>
      <c r="I10" s="409"/>
      <c r="J10" s="1362" t="s">
        <v>111</v>
      </c>
      <c r="K10" s="1363"/>
      <c r="L10" s="858" t="str">
        <f>IF(L9="","",INDEX(DIFFERENTIATION_UNMERGE_VD,MATCH(L9,DIFFERENTIATION_ID_DIFF,0)))</f>
        <v/>
      </c>
      <c r="M10" s="858" t="str">
        <f>IF(M9="","",INDEX(DIFFERENTIATION_UNMERGE_VD,MATCH(M9,DIFFERENTIATION_ID_DIFF,0)))</f>
        <v>Производство тепловой энергии. Некомбинированная выработка</v>
      </c>
      <c r="O10" s="1148" t="s">
        <v>305</v>
      </c>
      <c r="AK10" s="11">
        <v>11</v>
      </c>
    </row>
    <row r="11" spans="1:37" ht="11.45" customHeight="1">
      <c r="E11" s="1083" t="s">
        <v>625</v>
      </c>
      <c r="I11" s="409"/>
      <c r="J11" s="1362" t="s">
        <v>568</v>
      </c>
      <c r="K11" s="1363"/>
      <c r="L11" s="858" t="str">
        <f>IF(L9="","",INDEX(DIFFERENTIATION_UNMERGE_AREA,MATCH(L9,DIFFERENTIATION_ID_DIFF,0)))</f>
        <v/>
      </c>
      <c r="M11" s="858" t="str">
        <f>IF(M9="","",INDEX(DIFFERENTIATION_UNMERGE_AREA,MATCH(M9,DIFFERENTIATION_ID_DIFF,0)))</f>
        <v>Территория 1</v>
      </c>
      <c r="O11" s="1148"/>
      <c r="AK11" s="11">
        <v>11</v>
      </c>
    </row>
    <row r="12" spans="1:37" ht="11.45" customHeight="1">
      <c r="E12" s="1083" t="s">
        <v>626</v>
      </c>
      <c r="I12" s="896"/>
      <c r="J12" s="1362" t="s">
        <v>569</v>
      </c>
      <c r="K12" s="1363"/>
      <c r="L12" s="858" t="str">
        <f>IF(L9="","",INDEX(DIFFERENTIATION_UNMERGE_SYSTEM,MATCH(L9,DIFFERENTIATION_ID_DIFF,0)))</f>
        <v/>
      </c>
      <c r="M12" s="858" t="str">
        <f>IF(M9="","",INDEX(DIFFERENTIATION_UNMERGE_SYSTEM,MATCH(M9,DIFFERENTIATION_ID_DIFF,0)))</f>
        <v>без дифференциации</v>
      </c>
      <c r="O12" s="1148"/>
      <c r="AK12" s="11">
        <v>11</v>
      </c>
    </row>
    <row r="13" spans="1:37" ht="11.45" customHeight="1">
      <c r="E13" s="1083" t="s">
        <v>627</v>
      </c>
      <c r="F13" s="1083" t="s">
        <v>628</v>
      </c>
      <c r="I13" s="1364" t="s">
        <v>304</v>
      </c>
      <c r="J13" s="1365"/>
      <c r="K13" s="1365"/>
      <c r="L13" s="512"/>
      <c r="M13" s="1089"/>
      <c r="O13" s="1148"/>
      <c r="AK13" s="11">
        <v>11</v>
      </c>
    </row>
    <row r="14" spans="1:37" ht="24" customHeight="1">
      <c r="I14" s="41" t="s">
        <v>88</v>
      </c>
      <c r="J14" s="41" t="s">
        <v>306</v>
      </c>
      <c r="K14" s="41" t="s">
        <v>570</v>
      </c>
      <c r="L14" s="389" t="s">
        <v>307</v>
      </c>
      <c r="M14" s="41" t="s">
        <v>307</v>
      </c>
      <c r="O14" s="1148"/>
      <c r="AK14" s="11">
        <v>23</v>
      </c>
    </row>
    <row r="15" spans="1:37" ht="24" customHeight="1">
      <c r="A15" s="1087"/>
      <c r="B15" s="1086" t="s">
        <v>629</v>
      </c>
      <c r="C15" s="1086" t="s">
        <v>630</v>
      </c>
      <c r="D15" s="1085" t="s">
        <v>631</v>
      </c>
      <c r="E15" s="1088" t="s">
        <v>632</v>
      </c>
      <c r="F15" s="1088" t="s">
        <v>632</v>
      </c>
      <c r="G15" s="68" t="s">
        <v>592</v>
      </c>
      <c r="H15" s="55"/>
      <c r="I15" s="894">
        <v>1</v>
      </c>
      <c r="J15" s="153" t="s">
        <v>633</v>
      </c>
      <c r="K15" s="41" t="s">
        <v>310</v>
      </c>
      <c r="L15" s="375"/>
      <c r="M15" s="228"/>
      <c r="N15" s="308" t="s">
        <v>634</v>
      </c>
      <c r="O15" s="67" t="s">
        <v>635</v>
      </c>
      <c r="P15" s="308" t="s">
        <v>634</v>
      </c>
      <c r="AK15" s="11">
        <v>23</v>
      </c>
    </row>
    <row r="16" spans="1:37" ht="35.65" customHeight="1">
      <c r="A16" s="1087"/>
      <c r="B16" s="1086" t="s">
        <v>636</v>
      </c>
      <c r="C16" s="1086" t="s">
        <v>637</v>
      </c>
      <c r="D16" s="1085" t="s">
        <v>621</v>
      </c>
      <c r="E16" s="1088" t="s">
        <v>632</v>
      </c>
      <c r="F16" s="1088" t="s">
        <v>632</v>
      </c>
      <c r="H16" s="55"/>
      <c r="I16" s="893">
        <v>2</v>
      </c>
      <c r="J16" s="878" t="s">
        <v>638</v>
      </c>
      <c r="K16" s="340" t="s">
        <v>560</v>
      </c>
      <c r="L16" s="1090"/>
      <c r="M16" s="901"/>
      <c r="N16" s="308" t="s">
        <v>634</v>
      </c>
      <c r="O16" s="67" t="s">
        <v>639</v>
      </c>
      <c r="P16" s="308" t="s">
        <v>634</v>
      </c>
      <c r="AK16" s="11">
        <v>34</v>
      </c>
    </row>
    <row r="17" spans="1:37" s="68" customFormat="1" ht="17.25" hidden="1" customHeight="1">
      <c r="A17" s="313"/>
      <c r="B17" s="313"/>
      <c r="C17" s="313"/>
      <c r="D17" s="313"/>
      <c r="E17" s="313"/>
      <c r="H17" s="313"/>
      <c r="I17" s="316" t="s">
        <v>640</v>
      </c>
      <c r="J17" s="576"/>
      <c r="K17" s="316"/>
      <c r="L17" s="577"/>
      <c r="M17" s="577"/>
      <c r="O17" s="781"/>
      <c r="AK17" s="68">
        <v>1</v>
      </c>
    </row>
    <row r="18" spans="1:37" s="63" customFormat="1" ht="24" customHeight="1">
      <c r="A18" s="572"/>
      <c r="B18" s="572"/>
      <c r="C18" s="572"/>
      <c r="D18" s="572"/>
      <c r="E18" s="572"/>
      <c r="G18" s="68"/>
      <c r="H18" s="77"/>
      <c r="I18" s="333"/>
      <c r="J18" s="111" t="s">
        <v>590</v>
      </c>
      <c r="K18" s="334"/>
      <c r="L18" s="1092"/>
      <c r="M18" s="335"/>
      <c r="N18" s="308"/>
      <c r="O18" s="67" t="s">
        <v>591</v>
      </c>
      <c r="P18" s="308"/>
      <c r="Q18" s="68"/>
      <c r="R18" s="68"/>
      <c r="W18" s="68"/>
      <c r="Z18" s="309"/>
      <c r="AF18" s="8"/>
      <c r="AG18" s="8"/>
      <c r="AH18" s="8"/>
      <c r="AI18" s="8"/>
      <c r="AJ18" s="8"/>
      <c r="AK18" s="63">
        <v>23</v>
      </c>
    </row>
    <row r="19" spans="1:37" ht="19.899999999999999" customHeight="1">
      <c r="A19" s="1087"/>
      <c r="B19" s="1086" t="s">
        <v>641</v>
      </c>
      <c r="C19" s="1086" t="s">
        <v>642</v>
      </c>
      <c r="D19" s="1085" t="s">
        <v>621</v>
      </c>
      <c r="E19" s="1088" t="s">
        <v>632</v>
      </c>
      <c r="F19" s="1088" t="s">
        <v>632</v>
      </c>
      <c r="H19" s="55"/>
      <c r="I19" s="898">
        <v>3</v>
      </c>
      <c r="J19" s="153" t="s">
        <v>642</v>
      </c>
      <c r="K19" s="399" t="s">
        <v>560</v>
      </c>
      <c r="L19" s="424"/>
      <c r="M19" s="321"/>
      <c r="N19" s="308"/>
      <c r="O19" s="67" t="s">
        <v>643</v>
      </c>
      <c r="P19" s="308"/>
      <c r="AK19" s="11">
        <v>19</v>
      </c>
    </row>
    <row r="20" spans="1:37" ht="77.650000000000006" customHeight="1">
      <c r="A20" s="1087"/>
      <c r="B20" s="1086" t="s">
        <v>644</v>
      </c>
      <c r="C20" s="1086" t="s">
        <v>645</v>
      </c>
      <c r="D20" s="1085" t="s">
        <v>621</v>
      </c>
      <c r="E20" s="1088" t="s">
        <v>632</v>
      </c>
      <c r="F20" s="1088" t="s">
        <v>632</v>
      </c>
      <c r="H20" s="55"/>
      <c r="I20" s="898">
        <v>4</v>
      </c>
      <c r="J20" s="153" t="s">
        <v>646</v>
      </c>
      <c r="K20" s="399" t="s">
        <v>587</v>
      </c>
      <c r="L20" s="424"/>
      <c r="M20" s="321"/>
      <c r="N20" s="308"/>
      <c r="O20" s="67"/>
      <c r="P20" s="308"/>
      <c r="AK20" s="11">
        <v>74</v>
      </c>
    </row>
    <row r="21" spans="1:37" ht="35.65" customHeight="1">
      <c r="A21" s="1087"/>
      <c r="B21" s="1086" t="s">
        <v>647</v>
      </c>
      <c r="C21" s="1086" t="s">
        <v>648</v>
      </c>
      <c r="D21" s="1085" t="s">
        <v>621</v>
      </c>
      <c r="E21" s="1088" t="s">
        <v>632</v>
      </c>
      <c r="F21" s="1088" t="s">
        <v>632</v>
      </c>
      <c r="H21" s="55"/>
      <c r="I21" s="898">
        <v>5</v>
      </c>
      <c r="J21" s="153" t="s">
        <v>649</v>
      </c>
      <c r="K21" s="399" t="s">
        <v>587</v>
      </c>
      <c r="L21" s="424"/>
      <c r="M21" s="321"/>
      <c r="N21" s="308"/>
      <c r="O21" s="67" t="s">
        <v>643</v>
      </c>
      <c r="P21" s="308"/>
      <c r="AK21" s="11">
        <v>34</v>
      </c>
    </row>
    <row r="22" spans="1:37" ht="48.2" customHeight="1">
      <c r="A22" s="1087"/>
      <c r="B22" s="1086" t="s">
        <v>650</v>
      </c>
      <c r="C22" s="1086" t="s">
        <v>651</v>
      </c>
      <c r="D22" s="1085" t="s">
        <v>621</v>
      </c>
      <c r="E22" s="1088" t="s">
        <v>632</v>
      </c>
      <c r="F22" s="1088" t="s">
        <v>632</v>
      </c>
      <c r="H22" s="55"/>
      <c r="I22" s="898">
        <v>6</v>
      </c>
      <c r="J22" s="153" t="s">
        <v>652</v>
      </c>
      <c r="K22" s="399" t="s">
        <v>587</v>
      </c>
      <c r="L22" s="424"/>
      <c r="M22" s="321"/>
      <c r="N22" s="308"/>
      <c r="O22" s="67" t="s">
        <v>653</v>
      </c>
      <c r="P22" s="308"/>
      <c r="AK22" s="11">
        <v>46</v>
      </c>
    </row>
    <row r="23" spans="1:37" ht="19.899999999999999" customHeight="1">
      <c r="A23" s="1087"/>
      <c r="B23" s="1086" t="s">
        <v>654</v>
      </c>
      <c r="C23" s="1086" t="s">
        <v>655</v>
      </c>
      <c r="D23" s="1085" t="s">
        <v>621</v>
      </c>
      <c r="E23" s="1088" t="s">
        <v>632</v>
      </c>
      <c r="F23" s="1088" t="s">
        <v>632</v>
      </c>
      <c r="H23" s="55"/>
      <c r="I23" s="898" t="s">
        <v>656</v>
      </c>
      <c r="J23" s="323" t="s">
        <v>657</v>
      </c>
      <c r="K23" s="399" t="s">
        <v>587</v>
      </c>
      <c r="L23" s="424"/>
      <c r="M23" s="321"/>
      <c r="N23" s="308"/>
      <c r="O23" s="67" t="s">
        <v>643</v>
      </c>
      <c r="P23" s="308"/>
      <c r="AK23" s="11">
        <v>19</v>
      </c>
    </row>
    <row r="24" spans="1:37" ht="19.899999999999999" customHeight="1">
      <c r="A24" s="1087"/>
      <c r="B24" s="1086" t="s">
        <v>658</v>
      </c>
      <c r="C24" s="1086" t="s">
        <v>659</v>
      </c>
      <c r="D24" s="1085" t="s">
        <v>621</v>
      </c>
      <c r="E24" s="1088" t="s">
        <v>632</v>
      </c>
      <c r="F24" s="1088" t="s">
        <v>632</v>
      </c>
      <c r="H24" s="55"/>
      <c r="I24" s="898" t="s">
        <v>660</v>
      </c>
      <c r="J24" s="323" t="s">
        <v>661</v>
      </c>
      <c r="K24" s="399" t="s">
        <v>587</v>
      </c>
      <c r="L24" s="424"/>
      <c r="M24" s="321"/>
      <c r="N24" s="308"/>
      <c r="O24" s="67"/>
      <c r="P24" s="308"/>
      <c r="AK24" s="11">
        <v>19</v>
      </c>
    </row>
    <row r="25" spans="1:37" ht="24" customHeight="1">
      <c r="A25" s="1087"/>
      <c r="B25" s="1086" t="s">
        <v>662</v>
      </c>
      <c r="C25" s="1086" t="s">
        <v>663</v>
      </c>
      <c r="D25" s="1085" t="s">
        <v>621</v>
      </c>
      <c r="E25" s="1088" t="s">
        <v>632</v>
      </c>
      <c r="F25" s="1088" t="s">
        <v>632</v>
      </c>
      <c r="H25" s="55"/>
      <c r="I25" s="898" t="s">
        <v>664</v>
      </c>
      <c r="J25" s="323" t="s">
        <v>665</v>
      </c>
      <c r="K25" s="399" t="s">
        <v>587</v>
      </c>
      <c r="L25" s="424"/>
      <c r="M25" s="321"/>
      <c r="N25" s="308"/>
      <c r="O25" s="67"/>
      <c r="P25" s="308"/>
      <c r="AK25" s="11">
        <v>23</v>
      </c>
    </row>
    <row r="26" spans="1:37" ht="24" customHeight="1">
      <c r="A26" s="1087"/>
      <c r="B26" s="1086" t="s">
        <v>666</v>
      </c>
      <c r="C26" s="1086" t="s">
        <v>667</v>
      </c>
      <c r="D26" s="1085" t="s">
        <v>621</v>
      </c>
      <c r="E26" s="1088" t="s">
        <v>632</v>
      </c>
      <c r="F26" s="1088" t="s">
        <v>632</v>
      </c>
      <c r="H26" s="55"/>
      <c r="I26" s="898">
        <v>7</v>
      </c>
      <c r="J26" s="153" t="s">
        <v>667</v>
      </c>
      <c r="K26" s="399" t="s">
        <v>668</v>
      </c>
      <c r="L26" s="424"/>
      <c r="M26" s="321"/>
      <c r="N26" s="308"/>
      <c r="O26" s="67"/>
      <c r="P26" s="308"/>
      <c r="AK26" s="11">
        <v>23</v>
      </c>
    </row>
    <row r="27" spans="1:37" ht="24" customHeight="1">
      <c r="A27" s="1087"/>
      <c r="B27" s="1086" t="s">
        <v>669</v>
      </c>
      <c r="C27" s="1086" t="s">
        <v>670</v>
      </c>
      <c r="D27" s="1085" t="s">
        <v>621</v>
      </c>
      <c r="E27" s="1088" t="s">
        <v>632</v>
      </c>
      <c r="F27" s="1088" t="s">
        <v>632</v>
      </c>
      <c r="H27" s="55"/>
      <c r="I27" s="898">
        <v>8</v>
      </c>
      <c r="J27" s="153" t="s">
        <v>670</v>
      </c>
      <c r="K27" s="399" t="s">
        <v>593</v>
      </c>
      <c r="L27" s="424"/>
      <c r="M27" s="321"/>
      <c r="N27" s="308"/>
      <c r="O27" s="67"/>
      <c r="P27" s="308"/>
      <c r="AK27" s="11">
        <v>23</v>
      </c>
    </row>
    <row r="28" spans="1:37" ht="35.65" customHeight="1">
      <c r="A28" s="1087"/>
      <c r="B28" s="1086" t="s">
        <v>671</v>
      </c>
      <c r="C28" s="1086" t="s">
        <v>672</v>
      </c>
      <c r="D28" s="1085" t="s">
        <v>621</v>
      </c>
      <c r="E28" s="1088" t="s">
        <v>632</v>
      </c>
      <c r="F28" s="1088" t="s">
        <v>632</v>
      </c>
      <c r="H28" s="55"/>
      <c r="I28" s="900">
        <v>9</v>
      </c>
      <c r="J28" s="153" t="s">
        <v>673</v>
      </c>
      <c r="K28" s="399" t="s">
        <v>564</v>
      </c>
      <c r="L28" s="424"/>
      <c r="M28" s="321"/>
      <c r="N28" s="308"/>
      <c r="O28" s="67"/>
      <c r="P28" s="308"/>
      <c r="AK28" s="11">
        <v>34</v>
      </c>
    </row>
    <row r="29" spans="1:37" ht="35.65" customHeight="1">
      <c r="A29" s="1087"/>
      <c r="B29" s="1086" t="s">
        <v>674</v>
      </c>
      <c r="C29" s="1086" t="s">
        <v>675</v>
      </c>
      <c r="D29" s="1085" t="s">
        <v>621</v>
      </c>
      <c r="E29" s="1088" t="s">
        <v>632</v>
      </c>
      <c r="F29" s="1088" t="s">
        <v>632</v>
      </c>
      <c r="H29" s="55"/>
      <c r="I29" s="900">
        <v>10</v>
      </c>
      <c r="J29" s="153" t="s">
        <v>676</v>
      </c>
      <c r="K29" s="399" t="s">
        <v>564</v>
      </c>
      <c r="L29" s="424"/>
      <c r="M29" s="321"/>
      <c r="N29" s="308"/>
      <c r="O29" s="67"/>
      <c r="P29" s="308"/>
      <c r="AK29" s="11">
        <v>34</v>
      </c>
    </row>
    <row r="30" spans="1:37" ht="24" customHeight="1">
      <c r="A30" s="1087"/>
      <c r="B30" s="1086" t="s">
        <v>677</v>
      </c>
      <c r="C30" s="1086" t="s">
        <v>678</v>
      </c>
      <c r="D30" s="1085" t="s">
        <v>621</v>
      </c>
      <c r="E30" s="1088" t="s">
        <v>632</v>
      </c>
      <c r="F30" s="1088" t="s">
        <v>632</v>
      </c>
      <c r="H30" s="55"/>
      <c r="I30" s="900">
        <v>11</v>
      </c>
      <c r="J30" s="153" t="s">
        <v>678</v>
      </c>
      <c r="K30" s="399" t="s">
        <v>594</v>
      </c>
      <c r="L30" s="1091"/>
      <c r="M30" s="891"/>
      <c r="N30" s="308"/>
      <c r="O30" s="67"/>
      <c r="P30" s="308"/>
      <c r="AK30" s="11">
        <v>23</v>
      </c>
    </row>
    <row r="31" spans="1:37" ht="24" customHeight="1">
      <c r="A31" s="1087"/>
      <c r="B31" s="1086" t="s">
        <v>679</v>
      </c>
      <c r="C31" s="1086" t="s">
        <v>680</v>
      </c>
      <c r="D31" s="1085" t="s">
        <v>621</v>
      </c>
      <c r="E31" s="1088" t="s">
        <v>632</v>
      </c>
      <c r="F31" s="1088" t="s">
        <v>632</v>
      </c>
      <c r="H31" s="55"/>
      <c r="I31" s="900">
        <v>12</v>
      </c>
      <c r="J31" s="153" t="s">
        <v>680</v>
      </c>
      <c r="K31" s="399" t="s">
        <v>594</v>
      </c>
      <c r="L31" s="1091"/>
      <c r="M31" s="891"/>
      <c r="N31" s="308"/>
      <c r="O31" s="67"/>
      <c r="P31" s="308"/>
      <c r="AK31" s="11">
        <v>23</v>
      </c>
    </row>
    <row r="32" spans="1:37" ht="48.2" customHeight="1">
      <c r="A32" s="1087"/>
      <c r="B32" s="1086" t="s">
        <v>681</v>
      </c>
      <c r="C32" s="1086" t="s">
        <v>682</v>
      </c>
      <c r="D32" s="1085" t="s">
        <v>621</v>
      </c>
      <c r="E32" s="1088" t="s">
        <v>632</v>
      </c>
      <c r="F32" s="1088" t="s">
        <v>632</v>
      </c>
      <c r="H32" s="55"/>
      <c r="I32" s="900">
        <v>13</v>
      </c>
      <c r="J32" s="153" t="s">
        <v>683</v>
      </c>
      <c r="K32" s="399" t="s">
        <v>604</v>
      </c>
      <c r="L32" s="424"/>
      <c r="M32" s="321"/>
      <c r="N32" s="308"/>
      <c r="O32" s="67" t="s">
        <v>643</v>
      </c>
      <c r="P32" s="308"/>
      <c r="AK32" s="11">
        <v>46</v>
      </c>
    </row>
    <row r="33" spans="1:37" s="63" customFormat="1" ht="48.2" customHeight="1">
      <c r="A33" s="1087"/>
      <c r="B33" s="1086" t="s">
        <v>684</v>
      </c>
      <c r="C33" s="1086" t="s">
        <v>685</v>
      </c>
      <c r="D33" s="1085" t="s">
        <v>621</v>
      </c>
      <c r="E33" s="1088" t="s">
        <v>632</v>
      </c>
      <c r="F33" s="1088" t="s">
        <v>632</v>
      </c>
      <c r="G33" s="68"/>
      <c r="H33" s="55"/>
      <c r="I33" s="900">
        <v>14</v>
      </c>
      <c r="J33" s="878" t="s">
        <v>686</v>
      </c>
      <c r="K33" s="863" t="s">
        <v>687</v>
      </c>
      <c r="L33" s="424"/>
      <c r="M33" s="321"/>
      <c r="N33" s="308"/>
      <c r="O33" s="67" t="s">
        <v>643</v>
      </c>
      <c r="P33" s="308"/>
      <c r="Q33" s="68"/>
      <c r="R33" s="68"/>
      <c r="W33" s="68"/>
      <c r="Z33" s="309"/>
      <c r="AF33" s="8"/>
      <c r="AG33" s="8"/>
      <c r="AH33" s="8"/>
      <c r="AI33" s="8"/>
      <c r="AJ33" s="8"/>
      <c r="AK33" s="63">
        <v>46</v>
      </c>
    </row>
    <row r="34" spans="1:37" ht="108" customHeight="1">
      <c r="A34" s="1087"/>
      <c r="B34" s="1086" t="s">
        <v>688</v>
      </c>
      <c r="C34" s="1086" t="s">
        <v>689</v>
      </c>
      <c r="D34" s="1085" t="s">
        <v>631</v>
      </c>
      <c r="E34" s="1088" t="s">
        <v>632</v>
      </c>
      <c r="F34" s="1088" t="s">
        <v>632</v>
      </c>
      <c r="G34" s="68" t="s">
        <v>592</v>
      </c>
      <c r="H34" s="55"/>
      <c r="I34" s="43">
        <v>15</v>
      </c>
      <c r="J34" s="153" t="s">
        <v>690</v>
      </c>
      <c r="K34" s="399" t="s">
        <v>310</v>
      </c>
      <c r="L34" s="220"/>
      <c r="M34" s="117"/>
      <c r="N34" s="308"/>
      <c r="O34" s="67" t="s">
        <v>635</v>
      </c>
      <c r="P34" s="308"/>
      <c r="AK34" s="11">
        <v>103</v>
      </c>
    </row>
    <row r="35" spans="1:37" s="203" customFormat="1" ht="11.45" customHeight="1">
      <c r="A35" s="572"/>
      <c r="B35" s="572"/>
      <c r="C35" s="572"/>
      <c r="D35" s="572"/>
      <c r="E35" s="572"/>
      <c r="F35" s="68"/>
      <c r="G35" s="68"/>
      <c r="N35" s="63"/>
      <c r="P35" s="63"/>
      <c r="Q35" s="68"/>
      <c r="R35" s="68"/>
      <c r="S35" s="63"/>
      <c r="T35" s="63"/>
      <c r="U35" s="63"/>
      <c r="V35" s="63"/>
      <c r="W35" s="68"/>
      <c r="X35" s="63"/>
      <c r="Y35" s="63"/>
      <c r="Z35" s="309"/>
      <c r="AA35" s="63"/>
      <c r="AB35" s="63"/>
      <c r="AC35" s="63"/>
      <c r="AD35" s="63"/>
      <c r="AE35" s="63"/>
      <c r="AF35" s="8"/>
      <c r="AG35" s="142"/>
      <c r="AH35" s="142"/>
      <c r="AI35" s="142"/>
      <c r="AJ35" s="142"/>
      <c r="AK35" s="203">
        <v>11</v>
      </c>
    </row>
    <row r="36" spans="1:37" s="203" customFormat="1" ht="11.45" customHeight="1">
      <c r="A36" s="572"/>
      <c r="B36" s="572"/>
      <c r="C36" s="572"/>
      <c r="D36" s="572"/>
      <c r="E36" s="572"/>
      <c r="F36" s="68"/>
      <c r="G36" s="68"/>
      <c r="N36" s="63"/>
      <c r="P36" s="63"/>
      <c r="Q36" s="68"/>
      <c r="R36" s="68"/>
      <c r="S36" s="63"/>
      <c r="T36" s="63"/>
      <c r="U36" s="63"/>
      <c r="V36" s="63"/>
      <c r="W36" s="68"/>
      <c r="X36" s="63"/>
      <c r="Y36" s="63"/>
      <c r="Z36" s="309"/>
      <c r="AA36" s="63"/>
      <c r="AB36" s="63"/>
      <c r="AC36" s="63"/>
      <c r="AD36" s="63"/>
      <c r="AE36" s="63"/>
      <c r="AF36" s="8"/>
      <c r="AG36" s="142"/>
      <c r="AH36" s="142"/>
      <c r="AI36" s="142"/>
      <c r="AJ36" s="142"/>
      <c r="AK36" s="203">
        <v>11</v>
      </c>
    </row>
    <row r="37" spans="1:37" s="203" customFormat="1" ht="11.45" customHeight="1">
      <c r="A37" s="572"/>
      <c r="B37" s="572"/>
      <c r="C37" s="572"/>
      <c r="D37" s="572"/>
      <c r="E37" s="572"/>
      <c r="F37" s="68"/>
      <c r="G37" s="68"/>
      <c r="L37" s="142"/>
      <c r="M37" s="142"/>
      <c r="N37" s="63"/>
      <c r="P37" s="63"/>
      <c r="Q37" s="68"/>
      <c r="R37" s="68"/>
      <c r="S37" s="63"/>
      <c r="T37" s="63"/>
      <c r="U37" s="63"/>
      <c r="V37" s="63"/>
      <c r="W37" s="68"/>
      <c r="X37" s="63"/>
      <c r="Y37" s="63"/>
      <c r="Z37" s="309"/>
      <c r="AA37" s="63"/>
      <c r="AB37" s="63"/>
      <c r="AC37" s="63"/>
      <c r="AD37" s="63"/>
      <c r="AE37" s="63"/>
      <c r="AF37" s="8"/>
      <c r="AG37" s="142"/>
      <c r="AH37" s="142"/>
      <c r="AI37" s="142"/>
      <c r="AJ37" s="142"/>
      <c r="AK37" s="203">
        <v>11</v>
      </c>
    </row>
    <row r="38" spans="1:37" s="203" customFormat="1" ht="11.45" customHeight="1">
      <c r="A38" s="572"/>
      <c r="B38" s="572"/>
      <c r="C38" s="572"/>
      <c r="D38" s="572"/>
      <c r="E38" s="572"/>
      <c r="F38" s="68"/>
      <c r="G38" s="68"/>
      <c r="N38" s="63"/>
      <c r="P38" s="63"/>
      <c r="Q38" s="68"/>
      <c r="R38" s="68"/>
      <c r="S38" s="63"/>
      <c r="T38" s="63"/>
      <c r="U38" s="63"/>
      <c r="V38" s="63"/>
      <c r="W38" s="68"/>
      <c r="X38" s="63"/>
      <c r="Y38" s="63"/>
      <c r="Z38" s="309"/>
      <c r="AA38" s="63"/>
      <c r="AB38" s="63"/>
      <c r="AC38" s="63"/>
      <c r="AD38" s="63"/>
      <c r="AE38" s="63"/>
      <c r="AF38" s="8"/>
      <c r="AG38" s="142"/>
      <c r="AH38" s="142"/>
      <c r="AI38" s="142"/>
      <c r="AJ38" s="142"/>
      <c r="AK38" s="203">
        <v>11</v>
      </c>
    </row>
    <row r="39" spans="1:37" s="203" customFormat="1" ht="11.45" customHeight="1">
      <c r="A39" s="572"/>
      <c r="B39" s="572"/>
      <c r="C39" s="572"/>
      <c r="D39" s="572"/>
      <c r="E39" s="572"/>
      <c r="F39" s="68"/>
      <c r="G39" s="68"/>
      <c r="N39" s="63"/>
      <c r="P39" s="63"/>
      <c r="Q39" s="68"/>
      <c r="R39" s="68"/>
      <c r="S39" s="63"/>
      <c r="T39" s="63"/>
      <c r="U39" s="63"/>
      <c r="V39" s="63"/>
      <c r="W39" s="68"/>
      <c r="X39" s="63"/>
      <c r="Y39" s="63"/>
      <c r="Z39" s="309"/>
      <c r="AA39" s="63"/>
      <c r="AB39" s="63"/>
      <c r="AC39" s="63"/>
      <c r="AD39" s="63"/>
      <c r="AE39" s="63"/>
      <c r="AF39" s="8"/>
      <c r="AG39" s="142"/>
      <c r="AH39" s="142"/>
      <c r="AI39" s="142"/>
      <c r="AJ39" s="142"/>
      <c r="AK39" s="203">
        <v>11</v>
      </c>
    </row>
    <row r="40" spans="1:37" s="203" customFormat="1" ht="11.45" customHeight="1">
      <c r="A40" s="572"/>
      <c r="B40" s="572"/>
      <c r="C40" s="572"/>
      <c r="D40" s="572"/>
      <c r="E40" s="572"/>
      <c r="F40" s="68"/>
      <c r="G40" s="68"/>
      <c r="N40" s="63"/>
      <c r="P40" s="63"/>
      <c r="Q40" s="68"/>
      <c r="R40" s="68"/>
      <c r="S40" s="63"/>
      <c r="T40" s="63"/>
      <c r="U40" s="63"/>
      <c r="V40" s="63"/>
      <c r="W40" s="68"/>
      <c r="X40" s="63"/>
      <c r="Y40" s="63"/>
      <c r="Z40" s="309"/>
      <c r="AA40" s="63"/>
      <c r="AB40" s="63"/>
      <c r="AC40" s="63"/>
      <c r="AD40" s="63"/>
      <c r="AE40" s="63"/>
      <c r="AF40" s="8"/>
      <c r="AG40" s="142"/>
      <c r="AH40" s="142"/>
      <c r="AI40" s="142"/>
      <c r="AJ40" s="142"/>
      <c r="AK40" s="203">
        <v>11</v>
      </c>
    </row>
    <row r="41" spans="1:37" s="203" customFormat="1" ht="11.45" customHeight="1">
      <c r="A41" s="572"/>
      <c r="B41" s="572"/>
      <c r="C41" s="572"/>
      <c r="D41" s="572"/>
      <c r="E41" s="572"/>
      <c r="F41" s="68"/>
      <c r="G41" s="68"/>
      <c r="N41" s="63"/>
      <c r="P41" s="63"/>
      <c r="Q41" s="68"/>
      <c r="R41" s="68"/>
      <c r="S41" s="63"/>
      <c r="T41" s="63"/>
      <c r="U41" s="63"/>
      <c r="V41" s="63"/>
      <c r="W41" s="68"/>
      <c r="X41" s="63"/>
      <c r="Y41" s="63"/>
      <c r="Z41" s="309"/>
      <c r="AA41" s="63"/>
      <c r="AB41" s="63"/>
      <c r="AC41" s="63"/>
      <c r="AD41" s="63"/>
      <c r="AE41" s="63"/>
      <c r="AF41" s="8"/>
      <c r="AG41" s="142"/>
      <c r="AH41" s="142"/>
      <c r="AI41" s="142"/>
      <c r="AJ41" s="142"/>
      <c r="AK41" s="203">
        <v>11</v>
      </c>
    </row>
    <row r="42" spans="1:37" s="203" customFormat="1" ht="11.45" customHeight="1">
      <c r="A42" s="572"/>
      <c r="B42" s="572"/>
      <c r="C42" s="572"/>
      <c r="D42" s="572"/>
      <c r="E42" s="572"/>
      <c r="F42" s="68"/>
      <c r="G42" s="68"/>
      <c r="N42" s="63"/>
      <c r="P42" s="63"/>
      <c r="Q42" s="68"/>
      <c r="R42" s="68"/>
      <c r="S42" s="63"/>
      <c r="T42" s="63"/>
      <c r="U42" s="63"/>
      <c r="V42" s="63"/>
      <c r="W42" s="68"/>
      <c r="X42" s="63"/>
      <c r="Y42" s="63"/>
      <c r="Z42" s="309"/>
      <c r="AA42" s="63"/>
      <c r="AB42" s="63"/>
      <c r="AC42" s="63"/>
      <c r="AD42" s="63"/>
      <c r="AE42" s="63"/>
      <c r="AF42" s="8"/>
      <c r="AG42" s="142"/>
      <c r="AH42" s="142"/>
      <c r="AI42" s="142"/>
      <c r="AJ42" s="142"/>
      <c r="AK42" s="203">
        <v>11</v>
      </c>
    </row>
    <row r="43" spans="1:37" s="203" customFormat="1" ht="11.45" customHeight="1">
      <c r="A43" s="572"/>
      <c r="B43" s="572"/>
      <c r="C43" s="572"/>
      <c r="D43" s="572"/>
      <c r="E43" s="572"/>
      <c r="F43" s="68"/>
      <c r="G43" s="68"/>
      <c r="N43" s="63"/>
      <c r="P43" s="63"/>
      <c r="Q43" s="68"/>
      <c r="R43" s="68"/>
      <c r="S43" s="63"/>
      <c r="T43" s="63"/>
      <c r="U43" s="63"/>
      <c r="V43" s="63"/>
      <c r="W43" s="68"/>
      <c r="X43" s="63"/>
      <c r="Y43" s="63"/>
      <c r="Z43" s="309"/>
      <c r="AA43" s="63"/>
      <c r="AB43" s="63"/>
      <c r="AC43" s="63"/>
      <c r="AD43" s="63"/>
      <c r="AE43" s="63"/>
      <c r="AF43" s="8"/>
      <c r="AG43" s="142"/>
      <c r="AH43" s="142"/>
      <c r="AI43" s="142"/>
      <c r="AJ43" s="142"/>
      <c r="AK43" s="203">
        <v>11</v>
      </c>
    </row>
    <row r="44" spans="1:37" s="203" customFormat="1" ht="11.45" customHeight="1">
      <c r="A44" s="572"/>
      <c r="B44" s="572"/>
      <c r="C44" s="572"/>
      <c r="D44" s="572"/>
      <c r="E44" s="572"/>
      <c r="F44" s="68"/>
      <c r="G44" s="68"/>
      <c r="N44" s="63"/>
      <c r="P44" s="63"/>
      <c r="Q44" s="68"/>
      <c r="R44" s="68"/>
      <c r="S44" s="63"/>
      <c r="T44" s="63"/>
      <c r="U44" s="63"/>
      <c r="V44" s="63"/>
      <c r="W44" s="68"/>
      <c r="X44" s="63"/>
      <c r="Y44" s="63"/>
      <c r="Z44" s="309"/>
      <c r="AA44" s="63"/>
      <c r="AB44" s="63"/>
      <c r="AC44" s="63"/>
      <c r="AD44" s="63"/>
      <c r="AE44" s="63"/>
      <c r="AF44" s="8"/>
      <c r="AG44" s="142"/>
      <c r="AH44" s="142"/>
      <c r="AI44" s="142"/>
      <c r="AJ44" s="142"/>
      <c r="AK44" s="203">
        <v>11</v>
      </c>
    </row>
    <row r="45" spans="1:37" s="203" customFormat="1" ht="11.45" customHeight="1">
      <c r="A45" s="572"/>
      <c r="B45" s="572"/>
      <c r="C45" s="572"/>
      <c r="D45" s="572"/>
      <c r="E45" s="572"/>
      <c r="F45" s="68"/>
      <c r="G45" s="68"/>
      <c r="N45" s="63"/>
      <c r="P45" s="63"/>
      <c r="Q45" s="68"/>
      <c r="R45" s="68"/>
      <c r="S45" s="63"/>
      <c r="T45" s="63"/>
      <c r="U45" s="63"/>
      <c r="V45" s="63"/>
      <c r="W45" s="68"/>
      <c r="X45" s="63"/>
      <c r="Y45" s="63"/>
      <c r="Z45" s="309"/>
      <c r="AA45" s="63"/>
      <c r="AB45" s="63"/>
      <c r="AC45" s="63"/>
      <c r="AD45" s="63"/>
      <c r="AE45" s="63"/>
      <c r="AF45" s="8"/>
      <c r="AG45" s="142"/>
      <c r="AH45" s="142"/>
      <c r="AI45" s="142"/>
      <c r="AJ45" s="142"/>
      <c r="AK45" s="203">
        <v>11</v>
      </c>
    </row>
    <row r="46" spans="1:37" s="203" customFormat="1" ht="11.45" customHeight="1">
      <c r="A46" s="572"/>
      <c r="B46" s="572"/>
      <c r="C46" s="572"/>
      <c r="D46" s="572"/>
      <c r="E46" s="572"/>
      <c r="F46" s="68"/>
      <c r="G46" s="68"/>
      <c r="N46" s="63"/>
      <c r="P46" s="63"/>
      <c r="Q46" s="68"/>
      <c r="R46" s="68"/>
      <c r="S46" s="63"/>
      <c r="T46" s="63"/>
      <c r="U46" s="63"/>
      <c r="V46" s="63"/>
      <c r="W46" s="68"/>
      <c r="X46" s="63"/>
      <c r="Y46" s="63"/>
      <c r="Z46" s="309"/>
      <c r="AA46" s="63"/>
      <c r="AB46" s="63"/>
      <c r="AC46" s="63"/>
      <c r="AD46" s="63"/>
      <c r="AE46" s="63"/>
      <c r="AF46" s="8"/>
      <c r="AG46" s="142"/>
      <c r="AH46" s="142"/>
      <c r="AI46" s="142"/>
      <c r="AJ46" s="142"/>
      <c r="AK46" s="203">
        <v>11</v>
      </c>
    </row>
    <row r="47" spans="1:37" s="203" customFormat="1" ht="11.45" customHeight="1">
      <c r="A47" s="572"/>
      <c r="B47" s="572"/>
      <c r="C47" s="572"/>
      <c r="D47" s="572"/>
      <c r="E47" s="572"/>
      <c r="F47" s="68"/>
      <c r="G47" s="68"/>
      <c r="N47" s="63"/>
      <c r="P47" s="63"/>
      <c r="Q47" s="68"/>
      <c r="R47" s="68"/>
      <c r="S47" s="63"/>
      <c r="T47" s="63"/>
      <c r="U47" s="63"/>
      <c r="V47" s="63"/>
      <c r="W47" s="68"/>
      <c r="X47" s="63"/>
      <c r="Y47" s="63"/>
      <c r="Z47" s="309"/>
      <c r="AA47" s="63"/>
      <c r="AB47" s="63"/>
      <c r="AC47" s="63"/>
      <c r="AD47" s="63"/>
      <c r="AE47" s="63"/>
      <c r="AF47" s="8"/>
      <c r="AG47" s="142"/>
      <c r="AH47" s="142"/>
      <c r="AI47" s="142"/>
      <c r="AJ47" s="142"/>
      <c r="AK47" s="203">
        <v>11</v>
      </c>
    </row>
    <row r="48" spans="1:37" s="203" customFormat="1" ht="11.45" customHeight="1">
      <c r="A48" s="572"/>
      <c r="B48" s="572"/>
      <c r="C48" s="572"/>
      <c r="D48" s="572"/>
      <c r="E48" s="572"/>
      <c r="F48" s="68"/>
      <c r="G48" s="68"/>
      <c r="N48" s="63"/>
      <c r="P48" s="63"/>
      <c r="Q48" s="68"/>
      <c r="R48" s="68"/>
      <c r="S48" s="63"/>
      <c r="T48" s="63"/>
      <c r="U48" s="63"/>
      <c r="V48" s="63"/>
      <c r="W48" s="68"/>
      <c r="X48" s="63"/>
      <c r="Y48" s="63"/>
      <c r="Z48" s="309"/>
      <c r="AA48" s="63"/>
      <c r="AB48" s="63"/>
      <c r="AC48" s="63"/>
      <c r="AD48" s="63"/>
      <c r="AE48" s="63"/>
      <c r="AF48" s="8"/>
      <c r="AG48" s="142"/>
      <c r="AH48" s="142"/>
      <c r="AI48" s="142"/>
      <c r="AJ48" s="142"/>
      <c r="AK48" s="203">
        <v>11</v>
      </c>
    </row>
    <row r="49" spans="1:37" s="203" customFormat="1" ht="11.45" customHeight="1">
      <c r="A49" s="572"/>
      <c r="B49" s="572"/>
      <c r="C49" s="572"/>
      <c r="D49" s="572"/>
      <c r="E49" s="572"/>
      <c r="F49" s="68"/>
      <c r="G49" s="68"/>
      <c r="N49" s="63"/>
      <c r="P49" s="63"/>
      <c r="Q49" s="68"/>
      <c r="R49" s="68"/>
      <c r="S49" s="63"/>
      <c r="T49" s="63"/>
      <c r="U49" s="63"/>
      <c r="V49" s="63"/>
      <c r="W49" s="68"/>
      <c r="X49" s="63"/>
      <c r="Y49" s="63"/>
      <c r="Z49" s="309"/>
      <c r="AA49" s="63"/>
      <c r="AB49" s="63"/>
      <c r="AC49" s="63"/>
      <c r="AD49" s="63"/>
      <c r="AE49" s="63"/>
      <c r="AF49" s="8"/>
      <c r="AG49" s="142"/>
      <c r="AH49" s="142"/>
      <c r="AI49" s="142"/>
      <c r="AJ49" s="142"/>
      <c r="AK49" s="203">
        <v>11</v>
      </c>
    </row>
    <row r="50" spans="1:37" s="203" customFormat="1" ht="11.45" customHeight="1">
      <c r="A50" s="572"/>
      <c r="B50" s="572"/>
      <c r="C50" s="572"/>
      <c r="D50" s="572"/>
      <c r="E50" s="572"/>
      <c r="F50" s="68"/>
      <c r="G50" s="68"/>
      <c r="N50" s="63"/>
      <c r="P50" s="63"/>
      <c r="Q50" s="68"/>
      <c r="R50" s="68"/>
      <c r="S50" s="63"/>
      <c r="T50" s="63"/>
      <c r="U50" s="63"/>
      <c r="V50" s="63"/>
      <c r="W50" s="68"/>
      <c r="X50" s="63"/>
      <c r="Y50" s="63"/>
      <c r="Z50" s="309"/>
      <c r="AA50" s="63"/>
      <c r="AB50" s="63"/>
      <c r="AC50" s="63"/>
      <c r="AD50" s="63"/>
      <c r="AE50" s="63"/>
      <c r="AF50" s="8"/>
      <c r="AG50" s="142"/>
      <c r="AH50" s="142"/>
      <c r="AI50" s="142"/>
      <c r="AJ50" s="142"/>
      <c r="AK50" s="203">
        <v>11</v>
      </c>
    </row>
    <row r="51" spans="1:37" s="203" customFormat="1" ht="11.45" customHeight="1">
      <c r="A51" s="572"/>
      <c r="B51" s="572"/>
      <c r="C51" s="572"/>
      <c r="D51" s="572"/>
      <c r="E51" s="572"/>
      <c r="F51" s="68"/>
      <c r="G51" s="68"/>
      <c r="N51" s="63"/>
      <c r="P51" s="63"/>
      <c r="Q51" s="68"/>
      <c r="R51" s="68"/>
      <c r="S51" s="63"/>
      <c r="T51" s="63"/>
      <c r="U51" s="63"/>
      <c r="V51" s="63"/>
      <c r="W51" s="68"/>
      <c r="X51" s="63"/>
      <c r="Y51" s="63"/>
      <c r="Z51" s="309"/>
      <c r="AA51" s="63"/>
      <c r="AB51" s="63"/>
      <c r="AC51" s="63"/>
      <c r="AD51" s="63"/>
      <c r="AE51" s="63"/>
      <c r="AF51" s="8"/>
      <c r="AG51" s="142"/>
      <c r="AH51" s="142"/>
      <c r="AI51" s="142"/>
      <c r="AJ51" s="142"/>
      <c r="AK51" s="203">
        <v>11</v>
      </c>
    </row>
    <row r="52" spans="1:37" s="203" customFormat="1" ht="11.45" customHeight="1">
      <c r="A52" s="572"/>
      <c r="B52" s="572"/>
      <c r="C52" s="572"/>
      <c r="D52" s="572"/>
      <c r="E52" s="572"/>
      <c r="F52" s="68"/>
      <c r="G52" s="68"/>
      <c r="N52" s="63"/>
      <c r="P52" s="63"/>
      <c r="Q52" s="68"/>
      <c r="R52" s="68"/>
      <c r="S52" s="63"/>
      <c r="T52" s="63"/>
      <c r="U52" s="63"/>
      <c r="V52" s="63"/>
      <c r="W52" s="68"/>
      <c r="X52" s="63"/>
      <c r="Y52" s="63"/>
      <c r="Z52" s="309"/>
      <c r="AA52" s="63"/>
      <c r="AB52" s="63"/>
      <c r="AC52" s="63"/>
      <c r="AD52" s="63"/>
      <c r="AE52" s="63"/>
      <c r="AF52" s="8"/>
      <c r="AG52" s="142"/>
      <c r="AH52" s="142"/>
      <c r="AI52" s="142"/>
      <c r="AJ52" s="142"/>
      <c r="AK52" s="203">
        <v>11</v>
      </c>
    </row>
    <row r="53" spans="1:37" s="203" customFormat="1" ht="11.45" customHeight="1">
      <c r="A53" s="572"/>
      <c r="B53" s="572"/>
      <c r="C53" s="572"/>
      <c r="D53" s="572"/>
      <c r="E53" s="572"/>
      <c r="F53" s="68"/>
      <c r="G53" s="68"/>
      <c r="N53" s="63"/>
      <c r="P53" s="63"/>
      <c r="Q53" s="68"/>
      <c r="R53" s="68"/>
      <c r="S53" s="63"/>
      <c r="T53" s="63"/>
      <c r="U53" s="63"/>
      <c r="V53" s="63"/>
      <c r="W53" s="68"/>
      <c r="X53" s="63"/>
      <c r="Y53" s="63"/>
      <c r="Z53" s="309"/>
      <c r="AA53" s="63"/>
      <c r="AB53" s="63"/>
      <c r="AC53" s="63"/>
      <c r="AD53" s="63"/>
      <c r="AE53" s="63"/>
      <c r="AF53" s="8"/>
      <c r="AG53" s="142"/>
      <c r="AH53" s="142"/>
      <c r="AI53" s="142"/>
      <c r="AJ53" s="142"/>
      <c r="AK53" s="203">
        <v>11</v>
      </c>
    </row>
    <row r="54" spans="1:37" s="203" customFormat="1" ht="11.45" customHeight="1">
      <c r="A54" s="572"/>
      <c r="B54" s="572"/>
      <c r="C54" s="572"/>
      <c r="D54" s="572"/>
      <c r="E54" s="572"/>
      <c r="F54" s="68"/>
      <c r="G54" s="68"/>
      <c r="N54" s="63"/>
      <c r="P54" s="63"/>
      <c r="Q54" s="68"/>
      <c r="R54" s="68"/>
      <c r="S54" s="63"/>
      <c r="T54" s="63"/>
      <c r="U54" s="63"/>
      <c r="V54" s="63"/>
      <c r="W54" s="68"/>
      <c r="X54" s="63"/>
      <c r="Y54" s="63"/>
      <c r="Z54" s="309"/>
      <c r="AA54" s="63"/>
      <c r="AB54" s="63"/>
      <c r="AC54" s="63"/>
      <c r="AD54" s="63"/>
      <c r="AE54" s="63"/>
      <c r="AF54" s="8"/>
      <c r="AG54" s="142"/>
      <c r="AH54" s="142"/>
      <c r="AI54" s="142"/>
      <c r="AJ54" s="142"/>
      <c r="AK54" s="203">
        <v>11</v>
      </c>
    </row>
    <row r="55" spans="1:37" s="203" customFormat="1" ht="11.45" customHeight="1">
      <c r="A55" s="572"/>
      <c r="B55" s="572"/>
      <c r="C55" s="572"/>
      <c r="D55" s="572"/>
      <c r="E55" s="572"/>
      <c r="F55" s="68"/>
      <c r="G55" s="68"/>
      <c r="N55" s="63"/>
      <c r="P55" s="63"/>
      <c r="Q55" s="68"/>
      <c r="R55" s="68"/>
      <c r="S55" s="63"/>
      <c r="T55" s="63"/>
      <c r="U55" s="63"/>
      <c r="V55" s="63"/>
      <c r="W55" s="68"/>
      <c r="X55" s="63"/>
      <c r="Y55" s="63"/>
      <c r="Z55" s="309"/>
      <c r="AA55" s="63"/>
      <c r="AB55" s="63"/>
      <c r="AC55" s="63"/>
      <c r="AD55" s="63"/>
      <c r="AE55" s="63"/>
      <c r="AF55" s="8"/>
      <c r="AG55" s="142"/>
      <c r="AH55" s="142"/>
      <c r="AI55" s="142"/>
      <c r="AJ55" s="142"/>
      <c r="AK55" s="203">
        <v>11</v>
      </c>
    </row>
    <row r="56" spans="1:37" s="203" customFormat="1" ht="11.45" customHeight="1">
      <c r="A56" s="572"/>
      <c r="B56" s="572"/>
      <c r="C56" s="572"/>
      <c r="D56" s="572"/>
      <c r="E56" s="572"/>
      <c r="F56" s="68"/>
      <c r="G56" s="68"/>
      <c r="N56" s="63"/>
      <c r="P56" s="63"/>
      <c r="Q56" s="68"/>
      <c r="R56" s="68"/>
      <c r="S56" s="63"/>
      <c r="T56" s="63"/>
      <c r="U56" s="63"/>
      <c r="V56" s="63"/>
      <c r="W56" s="68"/>
      <c r="X56" s="63"/>
      <c r="Y56" s="63"/>
      <c r="Z56" s="309"/>
      <c r="AA56" s="63"/>
      <c r="AB56" s="63"/>
      <c r="AC56" s="63"/>
      <c r="AD56" s="63"/>
      <c r="AE56" s="63"/>
      <c r="AF56" s="8"/>
      <c r="AG56" s="142"/>
      <c r="AH56" s="142"/>
      <c r="AI56" s="142"/>
      <c r="AJ56" s="142"/>
      <c r="AK56" s="203">
        <v>11</v>
      </c>
    </row>
    <row r="57" spans="1:37" s="203" customFormat="1" ht="11.45" customHeight="1">
      <c r="A57" s="572"/>
      <c r="B57" s="572"/>
      <c r="C57" s="572"/>
      <c r="D57" s="572"/>
      <c r="E57" s="572"/>
      <c r="F57" s="68"/>
      <c r="G57" s="68"/>
      <c r="N57" s="63"/>
      <c r="P57" s="63"/>
      <c r="Q57" s="68"/>
      <c r="R57" s="68"/>
      <c r="S57" s="63"/>
      <c r="T57" s="63"/>
      <c r="U57" s="63"/>
      <c r="V57" s="63"/>
      <c r="W57" s="68"/>
      <c r="X57" s="63"/>
      <c r="Y57" s="63"/>
      <c r="Z57" s="309"/>
      <c r="AA57" s="63"/>
      <c r="AB57" s="63"/>
      <c r="AC57" s="63"/>
      <c r="AD57" s="63"/>
      <c r="AE57" s="63"/>
      <c r="AF57" s="8"/>
      <c r="AG57" s="142"/>
      <c r="AH57" s="142"/>
      <c r="AI57" s="142"/>
      <c r="AJ57" s="142"/>
      <c r="AK57" s="203">
        <v>11</v>
      </c>
    </row>
    <row r="58" spans="1:37" s="203" customFormat="1" ht="11.45" customHeight="1">
      <c r="A58" s="572"/>
      <c r="B58" s="572"/>
      <c r="C58" s="572"/>
      <c r="D58" s="572"/>
      <c r="E58" s="572"/>
      <c r="F58" s="68"/>
      <c r="G58" s="68"/>
      <c r="N58" s="63"/>
      <c r="P58" s="63"/>
      <c r="Q58" s="68"/>
      <c r="R58" s="68"/>
      <c r="S58" s="63"/>
      <c r="T58" s="63"/>
      <c r="U58" s="63"/>
      <c r="V58" s="63"/>
      <c r="W58" s="68"/>
      <c r="X58" s="63"/>
      <c r="Y58" s="63"/>
      <c r="Z58" s="309"/>
      <c r="AA58" s="63"/>
      <c r="AB58" s="63"/>
      <c r="AC58" s="63"/>
      <c r="AD58" s="63"/>
      <c r="AE58" s="63"/>
      <c r="AF58" s="8"/>
      <c r="AG58" s="142"/>
      <c r="AH58" s="142"/>
      <c r="AI58" s="142"/>
      <c r="AJ58" s="142"/>
      <c r="AK58" s="203">
        <v>11</v>
      </c>
    </row>
    <row r="59" spans="1:37" s="203" customFormat="1" ht="11.45" customHeight="1">
      <c r="A59" s="572"/>
      <c r="B59" s="572"/>
      <c r="C59" s="572"/>
      <c r="D59" s="572"/>
      <c r="E59" s="572"/>
      <c r="F59" s="68"/>
      <c r="G59" s="68"/>
      <c r="N59" s="63"/>
      <c r="P59" s="63"/>
      <c r="Q59" s="68"/>
      <c r="R59" s="68"/>
      <c r="S59" s="63"/>
      <c r="T59" s="63"/>
      <c r="U59" s="63"/>
      <c r="V59" s="63"/>
      <c r="W59" s="68"/>
      <c r="X59" s="63"/>
      <c r="Y59" s="63"/>
      <c r="Z59" s="309"/>
      <c r="AA59" s="63"/>
      <c r="AB59" s="63"/>
      <c r="AC59" s="63"/>
      <c r="AD59" s="63"/>
      <c r="AE59" s="63"/>
      <c r="AF59" s="8"/>
      <c r="AG59" s="142"/>
      <c r="AH59" s="142"/>
      <c r="AI59" s="142"/>
      <c r="AJ59" s="142"/>
      <c r="AK59" s="203">
        <v>11</v>
      </c>
    </row>
    <row r="60" spans="1:37" s="203" customFormat="1" ht="11.45" customHeight="1">
      <c r="A60" s="572"/>
      <c r="B60" s="572"/>
      <c r="C60" s="572"/>
      <c r="D60" s="572"/>
      <c r="E60" s="572"/>
      <c r="F60" s="68"/>
      <c r="G60" s="68"/>
      <c r="N60" s="63"/>
      <c r="P60" s="63"/>
      <c r="Q60" s="68"/>
      <c r="R60" s="68"/>
      <c r="S60" s="63"/>
      <c r="T60" s="63"/>
      <c r="U60" s="63"/>
      <c r="V60" s="63"/>
      <c r="W60" s="68"/>
      <c r="X60" s="63"/>
      <c r="Y60" s="63"/>
      <c r="Z60" s="309"/>
      <c r="AA60" s="63"/>
      <c r="AB60" s="63"/>
      <c r="AC60" s="63"/>
      <c r="AD60" s="63"/>
      <c r="AE60" s="63"/>
      <c r="AF60" s="8"/>
      <c r="AG60" s="142"/>
      <c r="AH60" s="142"/>
      <c r="AI60" s="142"/>
      <c r="AJ60" s="142"/>
      <c r="AK60" s="203">
        <v>11</v>
      </c>
    </row>
    <row r="61" spans="1:37" s="203" customFormat="1" ht="11.45" customHeight="1">
      <c r="A61" s="572"/>
      <c r="B61" s="572"/>
      <c r="C61" s="572"/>
      <c r="D61" s="572"/>
      <c r="E61" s="572"/>
      <c r="F61" s="68"/>
      <c r="G61" s="68"/>
      <c r="N61" s="63"/>
      <c r="P61" s="63"/>
      <c r="Q61" s="68"/>
      <c r="R61" s="68"/>
      <c r="S61" s="63"/>
      <c r="T61" s="63"/>
      <c r="U61" s="63"/>
      <c r="V61" s="63"/>
      <c r="W61" s="68"/>
      <c r="X61" s="63"/>
      <c r="Y61" s="63"/>
      <c r="Z61" s="309"/>
      <c r="AA61" s="63"/>
      <c r="AB61" s="63"/>
      <c r="AC61" s="63"/>
      <c r="AD61" s="63"/>
      <c r="AE61" s="63"/>
      <c r="AF61" s="8"/>
      <c r="AG61" s="142"/>
      <c r="AH61" s="142"/>
      <c r="AI61" s="142"/>
      <c r="AJ61" s="142"/>
      <c r="AK61" s="203">
        <v>11</v>
      </c>
    </row>
    <row r="62" spans="1:37" s="203" customFormat="1" ht="11.45" customHeight="1">
      <c r="A62" s="572"/>
      <c r="B62" s="572"/>
      <c r="C62" s="572"/>
      <c r="D62" s="572"/>
      <c r="E62" s="572"/>
      <c r="F62" s="68"/>
      <c r="G62" s="68"/>
      <c r="N62" s="63"/>
      <c r="P62" s="63"/>
      <c r="Q62" s="68"/>
      <c r="R62" s="68"/>
      <c r="S62" s="63"/>
      <c r="T62" s="63"/>
      <c r="U62" s="63"/>
      <c r="V62" s="63"/>
      <c r="W62" s="68"/>
      <c r="X62" s="63"/>
      <c r="Y62" s="63"/>
      <c r="Z62" s="309"/>
      <c r="AA62" s="63"/>
      <c r="AB62" s="63"/>
      <c r="AC62" s="63"/>
      <c r="AD62" s="63"/>
      <c r="AE62" s="63"/>
      <c r="AF62" s="8"/>
      <c r="AG62" s="142"/>
      <c r="AH62" s="142"/>
      <c r="AI62" s="142"/>
      <c r="AJ62" s="142"/>
      <c r="AK62" s="203">
        <v>11</v>
      </c>
    </row>
    <row r="63" spans="1:37" s="203" customFormat="1" ht="11.45" customHeight="1">
      <c r="A63" s="572"/>
      <c r="B63" s="572"/>
      <c r="C63" s="572"/>
      <c r="D63" s="572"/>
      <c r="E63" s="572"/>
      <c r="F63" s="68"/>
      <c r="G63" s="68"/>
      <c r="N63" s="63"/>
      <c r="P63" s="63"/>
      <c r="Q63" s="68"/>
      <c r="R63" s="68"/>
      <c r="S63" s="63"/>
      <c r="T63" s="63"/>
      <c r="U63" s="63"/>
      <c r="V63" s="63"/>
      <c r="W63" s="68"/>
      <c r="X63" s="63"/>
      <c r="Y63" s="63"/>
      <c r="Z63" s="309"/>
      <c r="AA63" s="63"/>
      <c r="AB63" s="63"/>
      <c r="AC63" s="63"/>
      <c r="AD63" s="63"/>
      <c r="AE63" s="63"/>
      <c r="AF63" s="8"/>
      <c r="AG63" s="142"/>
      <c r="AH63" s="142"/>
      <c r="AI63" s="142"/>
      <c r="AJ63" s="142"/>
      <c r="AK63" s="203">
        <v>11</v>
      </c>
    </row>
    <row r="64" spans="1:37" s="203" customFormat="1" ht="11.45" customHeight="1">
      <c r="A64" s="572"/>
      <c r="B64" s="572"/>
      <c r="C64" s="572"/>
      <c r="D64" s="572"/>
      <c r="E64" s="572"/>
      <c r="F64" s="68"/>
      <c r="G64" s="68"/>
      <c r="N64" s="63"/>
      <c r="P64" s="63"/>
      <c r="Q64" s="68"/>
      <c r="R64" s="68"/>
      <c r="S64" s="63"/>
      <c r="T64" s="63"/>
      <c r="U64" s="63"/>
      <c r="V64" s="63"/>
      <c r="W64" s="68"/>
      <c r="X64" s="63"/>
      <c r="Y64" s="63"/>
      <c r="Z64" s="309"/>
      <c r="AA64" s="63"/>
      <c r="AB64" s="63"/>
      <c r="AC64" s="63"/>
      <c r="AD64" s="63"/>
      <c r="AE64" s="63"/>
      <c r="AF64" s="8"/>
      <c r="AG64" s="142"/>
      <c r="AH64" s="142"/>
      <c r="AI64" s="142"/>
      <c r="AJ64" s="142"/>
      <c r="AK64" s="203">
        <v>11</v>
      </c>
    </row>
    <row r="65" spans="1:37" s="203" customFormat="1" ht="11.45" customHeight="1">
      <c r="A65" s="572"/>
      <c r="B65" s="572"/>
      <c r="C65" s="572"/>
      <c r="D65" s="572"/>
      <c r="E65" s="572"/>
      <c r="F65" s="68"/>
      <c r="G65" s="68"/>
      <c r="N65" s="63"/>
      <c r="P65" s="63"/>
      <c r="Q65" s="68"/>
      <c r="R65" s="68"/>
      <c r="S65" s="63"/>
      <c r="T65" s="63"/>
      <c r="U65" s="63"/>
      <c r="V65" s="63"/>
      <c r="W65" s="68"/>
      <c r="X65" s="63"/>
      <c r="Y65" s="63"/>
      <c r="Z65" s="309"/>
      <c r="AA65" s="63"/>
      <c r="AB65" s="63"/>
      <c r="AC65" s="63"/>
      <c r="AD65" s="63"/>
      <c r="AE65" s="63"/>
      <c r="AF65" s="8"/>
      <c r="AG65" s="142"/>
      <c r="AH65" s="142"/>
      <c r="AI65" s="142"/>
      <c r="AJ65" s="142"/>
      <c r="AK65" s="203">
        <v>11</v>
      </c>
    </row>
    <row r="66" spans="1:37" s="203" customFormat="1" ht="11.45" customHeight="1">
      <c r="A66" s="572"/>
      <c r="B66" s="572"/>
      <c r="C66" s="572"/>
      <c r="D66" s="572"/>
      <c r="E66" s="572"/>
      <c r="F66" s="68"/>
      <c r="G66" s="68"/>
      <c r="N66" s="63"/>
      <c r="P66" s="63"/>
      <c r="Q66" s="68"/>
      <c r="R66" s="68"/>
      <c r="S66" s="63"/>
      <c r="T66" s="63"/>
      <c r="U66" s="63"/>
      <c r="V66" s="63"/>
      <c r="W66" s="68"/>
      <c r="X66" s="63"/>
      <c r="Y66" s="63"/>
      <c r="Z66" s="309"/>
      <c r="AA66" s="63"/>
      <c r="AB66" s="63"/>
      <c r="AC66" s="63"/>
      <c r="AD66" s="63"/>
      <c r="AE66" s="63"/>
      <c r="AF66" s="8"/>
      <c r="AG66" s="142"/>
      <c r="AH66" s="142"/>
      <c r="AI66" s="142"/>
      <c r="AJ66" s="142"/>
      <c r="AK66" s="203">
        <v>11</v>
      </c>
    </row>
    <row r="67" spans="1:37" s="203" customFormat="1" ht="11.45" customHeight="1">
      <c r="A67" s="572"/>
      <c r="B67" s="572"/>
      <c r="C67" s="572"/>
      <c r="D67" s="572"/>
      <c r="E67" s="572"/>
      <c r="F67" s="68"/>
      <c r="G67" s="68"/>
      <c r="N67" s="63"/>
      <c r="P67" s="63"/>
      <c r="Q67" s="68"/>
      <c r="R67" s="68"/>
      <c r="S67" s="63"/>
      <c r="T67" s="63"/>
      <c r="U67" s="63"/>
      <c r="V67" s="63"/>
      <c r="W67" s="68"/>
      <c r="X67" s="63"/>
      <c r="Y67" s="63"/>
      <c r="Z67" s="309"/>
      <c r="AA67" s="63"/>
      <c r="AB67" s="63"/>
      <c r="AC67" s="63"/>
      <c r="AD67" s="63"/>
      <c r="AE67" s="63"/>
      <c r="AF67" s="8"/>
      <c r="AG67" s="142"/>
      <c r="AH67" s="142"/>
      <c r="AI67" s="142"/>
      <c r="AJ67" s="142"/>
      <c r="AK67" s="203">
        <v>11</v>
      </c>
    </row>
    <row r="68" spans="1:37" s="203" customFormat="1" ht="11.45" customHeight="1">
      <c r="A68" s="572"/>
      <c r="B68" s="572"/>
      <c r="C68" s="572"/>
      <c r="D68" s="572"/>
      <c r="E68" s="572"/>
      <c r="F68" s="68"/>
      <c r="G68" s="68"/>
      <c r="N68" s="63"/>
      <c r="P68" s="63"/>
      <c r="Q68" s="68"/>
      <c r="R68" s="68"/>
      <c r="S68" s="63"/>
      <c r="T68" s="63"/>
      <c r="U68" s="63"/>
      <c r="V68" s="63"/>
      <c r="W68" s="68"/>
      <c r="X68" s="63"/>
      <c r="Y68" s="63"/>
      <c r="Z68" s="309"/>
      <c r="AA68" s="63"/>
      <c r="AB68" s="63"/>
      <c r="AC68" s="63"/>
      <c r="AD68" s="63"/>
      <c r="AE68" s="63"/>
      <c r="AF68" s="8"/>
      <c r="AG68" s="142"/>
      <c r="AH68" s="142"/>
      <c r="AI68" s="142"/>
      <c r="AJ68" s="142"/>
      <c r="AK68" s="203">
        <v>11</v>
      </c>
    </row>
    <row r="69" spans="1:37" s="203" customFormat="1" ht="11.45" customHeight="1">
      <c r="A69" s="572"/>
      <c r="B69" s="572"/>
      <c r="C69" s="572"/>
      <c r="D69" s="572"/>
      <c r="E69" s="572"/>
      <c r="F69" s="68"/>
      <c r="G69" s="68"/>
      <c r="N69" s="63"/>
      <c r="P69" s="63"/>
      <c r="Q69" s="68"/>
      <c r="R69" s="68"/>
      <c r="S69" s="63"/>
      <c r="T69" s="63"/>
      <c r="U69" s="63"/>
      <c r="V69" s="63"/>
      <c r="W69" s="68"/>
      <c r="X69" s="63"/>
      <c r="Y69" s="63"/>
      <c r="Z69" s="309"/>
      <c r="AA69" s="63"/>
      <c r="AB69" s="63"/>
      <c r="AC69" s="63"/>
      <c r="AD69" s="63"/>
      <c r="AE69" s="63"/>
      <c r="AF69" s="8"/>
      <c r="AG69" s="142"/>
      <c r="AH69" s="142"/>
      <c r="AI69" s="142"/>
      <c r="AJ69" s="142"/>
      <c r="AK69" s="203">
        <v>11</v>
      </c>
    </row>
    <row r="70" spans="1:37" s="203" customFormat="1" ht="11.45" customHeight="1">
      <c r="A70" s="572"/>
      <c r="B70" s="572"/>
      <c r="C70" s="572"/>
      <c r="D70" s="572"/>
      <c r="E70" s="572"/>
      <c r="F70" s="68"/>
      <c r="G70" s="68"/>
      <c r="N70" s="63"/>
      <c r="P70" s="63"/>
      <c r="Q70" s="68"/>
      <c r="R70" s="68"/>
      <c r="S70" s="63"/>
      <c r="T70" s="63"/>
      <c r="U70" s="63"/>
      <c r="V70" s="63"/>
      <c r="W70" s="68"/>
      <c r="X70" s="63"/>
      <c r="Y70" s="63"/>
      <c r="Z70" s="309"/>
      <c r="AA70" s="63"/>
      <c r="AB70" s="63"/>
      <c r="AC70" s="63"/>
      <c r="AD70" s="63"/>
      <c r="AE70" s="63"/>
      <c r="AF70" s="8"/>
      <c r="AG70" s="142"/>
      <c r="AH70" s="142"/>
      <c r="AI70" s="142"/>
      <c r="AJ70" s="142"/>
      <c r="AK70" s="203">
        <v>11</v>
      </c>
    </row>
    <row r="71" spans="1:37" s="203" customFormat="1" ht="11.45" customHeight="1">
      <c r="A71" s="572"/>
      <c r="B71" s="572"/>
      <c r="C71" s="572"/>
      <c r="D71" s="572"/>
      <c r="E71" s="572"/>
      <c r="F71" s="68"/>
      <c r="G71" s="68"/>
      <c r="N71" s="63"/>
      <c r="P71" s="63"/>
      <c r="Q71" s="68"/>
      <c r="R71" s="68"/>
      <c r="S71" s="63"/>
      <c r="T71" s="63"/>
      <c r="U71" s="63"/>
      <c r="V71" s="63"/>
      <c r="W71" s="68"/>
      <c r="X71" s="63"/>
      <c r="Y71" s="63"/>
      <c r="Z71" s="309"/>
      <c r="AA71" s="63"/>
      <c r="AB71" s="63"/>
      <c r="AC71" s="63"/>
      <c r="AD71" s="63"/>
      <c r="AE71" s="63"/>
      <c r="AF71" s="8"/>
      <c r="AG71" s="142"/>
      <c r="AH71" s="142"/>
      <c r="AI71" s="142"/>
      <c r="AJ71" s="142"/>
      <c r="AK71" s="203">
        <v>11</v>
      </c>
    </row>
    <row r="72" spans="1:37" s="203" customFormat="1" ht="11.45" customHeight="1">
      <c r="A72" s="572"/>
      <c r="B72" s="572"/>
      <c r="C72" s="572"/>
      <c r="D72" s="572"/>
      <c r="E72" s="572"/>
      <c r="F72" s="68"/>
      <c r="G72" s="68"/>
      <c r="N72" s="63"/>
      <c r="P72" s="63"/>
      <c r="Q72" s="68"/>
      <c r="R72" s="68"/>
      <c r="S72" s="63"/>
      <c r="T72" s="63"/>
      <c r="U72" s="63"/>
      <c r="V72" s="63"/>
      <c r="W72" s="68"/>
      <c r="X72" s="63"/>
      <c r="Y72" s="63"/>
      <c r="Z72" s="309"/>
      <c r="AA72" s="63"/>
      <c r="AB72" s="63"/>
      <c r="AC72" s="63"/>
      <c r="AD72" s="63"/>
      <c r="AE72" s="63"/>
      <c r="AF72" s="8"/>
      <c r="AG72" s="142"/>
      <c r="AH72" s="142"/>
      <c r="AI72" s="142"/>
      <c r="AJ72" s="142"/>
      <c r="AK72" s="203">
        <v>11</v>
      </c>
    </row>
    <row r="73" spans="1:37" s="203" customFormat="1" ht="11.45" customHeight="1">
      <c r="A73" s="572"/>
      <c r="B73" s="572"/>
      <c r="C73" s="572"/>
      <c r="D73" s="572"/>
      <c r="E73" s="572"/>
      <c r="F73" s="68"/>
      <c r="G73" s="68"/>
      <c r="N73" s="63"/>
      <c r="P73" s="63"/>
      <c r="Q73" s="68"/>
      <c r="R73" s="68"/>
      <c r="S73" s="63"/>
      <c r="T73" s="63"/>
      <c r="U73" s="63"/>
      <c r="V73" s="63"/>
      <c r="W73" s="68"/>
      <c r="X73" s="63"/>
      <c r="Y73" s="63"/>
      <c r="Z73" s="309"/>
      <c r="AA73" s="63"/>
      <c r="AB73" s="63"/>
      <c r="AC73" s="63"/>
      <c r="AD73" s="63"/>
      <c r="AE73" s="63"/>
      <c r="AF73" s="8"/>
      <c r="AG73" s="142"/>
      <c r="AH73" s="142"/>
      <c r="AI73" s="142"/>
      <c r="AJ73" s="142"/>
      <c r="AK73" s="203">
        <v>11</v>
      </c>
    </row>
    <row r="74" spans="1:37" s="203" customFormat="1" ht="11.45" customHeight="1">
      <c r="A74" s="572"/>
      <c r="B74" s="572"/>
      <c r="C74" s="572"/>
      <c r="D74" s="572"/>
      <c r="E74" s="572"/>
      <c r="F74" s="68"/>
      <c r="G74" s="68"/>
      <c r="N74" s="63"/>
      <c r="P74" s="63"/>
      <c r="Q74" s="68"/>
      <c r="R74" s="68"/>
      <c r="S74" s="63"/>
      <c r="T74" s="63"/>
      <c r="U74" s="63"/>
      <c r="V74" s="63"/>
      <c r="W74" s="68"/>
      <c r="X74" s="63"/>
      <c r="Y74" s="63"/>
      <c r="Z74" s="309"/>
      <c r="AA74" s="63"/>
      <c r="AB74" s="63"/>
      <c r="AC74" s="63"/>
      <c r="AD74" s="63"/>
      <c r="AE74" s="63"/>
      <c r="AF74" s="8"/>
      <c r="AG74" s="142"/>
      <c r="AH74" s="142"/>
      <c r="AI74" s="142"/>
      <c r="AJ74" s="142"/>
      <c r="AK74" s="203">
        <v>11</v>
      </c>
    </row>
    <row r="75" spans="1:37" s="203" customFormat="1" ht="11.45" customHeight="1">
      <c r="A75" s="572"/>
      <c r="B75" s="572"/>
      <c r="C75" s="572"/>
      <c r="D75" s="572"/>
      <c r="E75" s="572"/>
      <c r="F75" s="68"/>
      <c r="G75" s="68"/>
      <c r="N75" s="63"/>
      <c r="P75" s="63"/>
      <c r="Q75" s="68"/>
      <c r="R75" s="68"/>
      <c r="S75" s="63"/>
      <c r="T75" s="63"/>
      <c r="U75" s="63"/>
      <c r="V75" s="63"/>
      <c r="W75" s="68"/>
      <c r="X75" s="63"/>
      <c r="Y75" s="63"/>
      <c r="Z75" s="309"/>
      <c r="AA75" s="63"/>
      <c r="AB75" s="63"/>
      <c r="AC75" s="63"/>
      <c r="AD75" s="63"/>
      <c r="AE75" s="63"/>
      <c r="AF75" s="8"/>
      <c r="AG75" s="142"/>
      <c r="AH75" s="142"/>
      <c r="AI75" s="142"/>
      <c r="AJ75" s="142"/>
      <c r="AK75" s="203">
        <v>11</v>
      </c>
    </row>
    <row r="76" spans="1:37" s="203" customFormat="1" ht="11.45" customHeight="1">
      <c r="A76" s="572"/>
      <c r="B76" s="572"/>
      <c r="C76" s="572"/>
      <c r="D76" s="572"/>
      <c r="E76" s="572"/>
      <c r="F76" s="68"/>
      <c r="G76" s="68"/>
      <c r="N76" s="63"/>
      <c r="P76" s="63"/>
      <c r="Q76" s="68"/>
      <c r="R76" s="68"/>
      <c r="S76" s="63"/>
      <c r="T76" s="63"/>
      <c r="U76" s="63"/>
      <c r="V76" s="63"/>
      <c r="W76" s="68"/>
      <c r="X76" s="63"/>
      <c r="Y76" s="63"/>
      <c r="Z76" s="309"/>
      <c r="AA76" s="63"/>
      <c r="AB76" s="63"/>
      <c r="AC76" s="63"/>
      <c r="AD76" s="63"/>
      <c r="AE76" s="63"/>
      <c r="AF76" s="8"/>
      <c r="AG76" s="142"/>
      <c r="AH76" s="142"/>
      <c r="AI76" s="142"/>
      <c r="AJ76" s="142"/>
      <c r="AK76" s="203">
        <v>11</v>
      </c>
    </row>
    <row r="77" spans="1:37" s="203" customFormat="1" ht="11.45" customHeight="1">
      <c r="A77" s="572"/>
      <c r="B77" s="572"/>
      <c r="C77" s="572"/>
      <c r="D77" s="572"/>
      <c r="E77" s="572"/>
      <c r="F77" s="68"/>
      <c r="G77" s="68"/>
      <c r="N77" s="63"/>
      <c r="P77" s="63"/>
      <c r="Q77" s="68"/>
      <c r="R77" s="68"/>
      <c r="S77" s="63"/>
      <c r="T77" s="63"/>
      <c r="U77" s="63"/>
      <c r="V77" s="63"/>
      <c r="W77" s="68"/>
      <c r="X77" s="63"/>
      <c r="Y77" s="63"/>
      <c r="Z77" s="309"/>
      <c r="AA77" s="63"/>
      <c r="AB77" s="63"/>
      <c r="AC77" s="63"/>
      <c r="AD77" s="63"/>
      <c r="AE77" s="63"/>
      <c r="AF77" s="8"/>
      <c r="AG77" s="142"/>
      <c r="AH77" s="142"/>
      <c r="AI77" s="142"/>
      <c r="AJ77" s="142"/>
      <c r="AK77" s="203">
        <v>11</v>
      </c>
    </row>
    <row r="78" spans="1:37" s="203" customFormat="1" ht="11.45" customHeight="1">
      <c r="A78" s="572"/>
      <c r="B78" s="572"/>
      <c r="C78" s="572"/>
      <c r="D78" s="572"/>
      <c r="E78" s="572"/>
      <c r="F78" s="68"/>
      <c r="G78" s="68"/>
      <c r="N78" s="63"/>
      <c r="P78" s="63"/>
      <c r="Q78" s="68"/>
      <c r="R78" s="68"/>
      <c r="S78" s="63"/>
      <c r="T78" s="63"/>
      <c r="U78" s="63"/>
      <c r="V78" s="63"/>
      <c r="W78" s="68"/>
      <c r="X78" s="63"/>
      <c r="Y78" s="63"/>
      <c r="Z78" s="309"/>
      <c r="AA78" s="63"/>
      <c r="AB78" s="63"/>
      <c r="AC78" s="63"/>
      <c r="AD78" s="63"/>
      <c r="AE78" s="63"/>
      <c r="AF78" s="8"/>
      <c r="AG78" s="142"/>
      <c r="AH78" s="142"/>
      <c r="AI78" s="142"/>
      <c r="AJ78" s="142"/>
      <c r="AK78" s="203">
        <v>11</v>
      </c>
    </row>
    <row r="79" spans="1:37" s="203" customFormat="1" ht="11.45" customHeight="1">
      <c r="A79" s="572"/>
      <c r="B79" s="572"/>
      <c r="C79" s="572"/>
      <c r="D79" s="572"/>
      <c r="E79" s="572"/>
      <c r="F79" s="68"/>
      <c r="G79" s="68"/>
      <c r="N79" s="63"/>
      <c r="P79" s="63"/>
      <c r="Q79" s="68"/>
      <c r="R79" s="68"/>
      <c r="S79" s="63"/>
      <c r="T79" s="63"/>
      <c r="U79" s="63"/>
      <c r="V79" s="63"/>
      <c r="W79" s="68"/>
      <c r="X79" s="63"/>
      <c r="Y79" s="63"/>
      <c r="Z79" s="309"/>
      <c r="AA79" s="63"/>
      <c r="AB79" s="63"/>
      <c r="AC79" s="63"/>
      <c r="AD79" s="63"/>
      <c r="AE79" s="63"/>
      <c r="AF79" s="8"/>
      <c r="AG79" s="142"/>
      <c r="AH79" s="142"/>
      <c r="AI79" s="142"/>
      <c r="AJ79" s="142"/>
      <c r="AK79" s="203">
        <v>11</v>
      </c>
    </row>
    <row r="80" spans="1:37" s="203" customFormat="1" ht="11.45" customHeight="1">
      <c r="A80" s="572"/>
      <c r="B80" s="572"/>
      <c r="C80" s="572"/>
      <c r="D80" s="572"/>
      <c r="E80" s="572"/>
      <c r="F80" s="68"/>
      <c r="G80" s="68"/>
      <c r="N80" s="63"/>
      <c r="P80" s="63"/>
      <c r="Q80" s="68"/>
      <c r="R80" s="68"/>
      <c r="S80" s="63"/>
      <c r="T80" s="63"/>
      <c r="U80" s="63"/>
      <c r="V80" s="63"/>
      <c r="W80" s="68"/>
      <c r="X80" s="63"/>
      <c r="Y80" s="63"/>
      <c r="Z80" s="309"/>
      <c r="AA80" s="63"/>
      <c r="AB80" s="63"/>
      <c r="AC80" s="63"/>
      <c r="AD80" s="63"/>
      <c r="AE80" s="63"/>
      <c r="AF80" s="8"/>
      <c r="AG80" s="142"/>
      <c r="AH80" s="142"/>
      <c r="AI80" s="142"/>
      <c r="AJ80" s="142"/>
      <c r="AK80" s="203">
        <v>11</v>
      </c>
    </row>
    <row r="81" spans="1:37" s="203" customFormat="1" ht="11.45" customHeight="1">
      <c r="A81" s="572"/>
      <c r="B81" s="572"/>
      <c r="C81" s="572"/>
      <c r="D81" s="572"/>
      <c r="E81" s="572"/>
      <c r="F81" s="68"/>
      <c r="G81" s="68"/>
      <c r="N81" s="63"/>
      <c r="P81" s="63"/>
      <c r="Q81" s="68"/>
      <c r="R81" s="68"/>
      <c r="S81" s="63"/>
      <c r="T81" s="63"/>
      <c r="U81" s="63"/>
      <c r="V81" s="63"/>
      <c r="W81" s="68"/>
      <c r="X81" s="63"/>
      <c r="Y81" s="63"/>
      <c r="Z81" s="309"/>
      <c r="AA81" s="63"/>
      <c r="AB81" s="63"/>
      <c r="AC81" s="63"/>
      <c r="AD81" s="63"/>
      <c r="AE81" s="63"/>
      <c r="AF81" s="8"/>
      <c r="AG81" s="142"/>
      <c r="AH81" s="142"/>
      <c r="AI81" s="142"/>
      <c r="AJ81" s="142"/>
      <c r="AK81" s="203">
        <v>11</v>
      </c>
    </row>
    <row r="82" spans="1:37" s="203" customFormat="1" ht="11.45" customHeight="1">
      <c r="A82" s="572"/>
      <c r="B82" s="572"/>
      <c r="C82" s="572"/>
      <c r="D82" s="572"/>
      <c r="E82" s="572"/>
      <c r="F82" s="68"/>
      <c r="G82" s="68"/>
      <c r="N82" s="63"/>
      <c r="P82" s="63"/>
      <c r="Q82" s="68"/>
      <c r="R82" s="68"/>
      <c r="S82" s="63"/>
      <c r="T82" s="63"/>
      <c r="U82" s="63"/>
      <c r="V82" s="63"/>
      <c r="W82" s="68"/>
      <c r="X82" s="63"/>
      <c r="Y82" s="63"/>
      <c r="Z82" s="309"/>
      <c r="AA82" s="63"/>
      <c r="AB82" s="63"/>
      <c r="AC82" s="63"/>
      <c r="AD82" s="63"/>
      <c r="AE82" s="63"/>
      <c r="AF82" s="8"/>
      <c r="AG82" s="142"/>
      <c r="AH82" s="142"/>
      <c r="AI82" s="142"/>
      <c r="AJ82" s="142"/>
      <c r="AK82" s="203">
        <v>11</v>
      </c>
    </row>
    <row r="83" spans="1:37" s="203" customFormat="1" ht="11.45" customHeight="1">
      <c r="A83" s="572"/>
      <c r="B83" s="572"/>
      <c r="C83" s="572"/>
      <c r="D83" s="572"/>
      <c r="E83" s="572"/>
      <c r="F83" s="68"/>
      <c r="G83" s="68"/>
      <c r="N83" s="63"/>
      <c r="P83" s="63"/>
      <c r="Q83" s="68"/>
      <c r="R83" s="68"/>
      <c r="S83" s="63"/>
      <c r="T83" s="63"/>
      <c r="U83" s="63"/>
      <c r="V83" s="63"/>
      <c r="W83" s="68"/>
      <c r="X83" s="63"/>
      <c r="Y83" s="63"/>
      <c r="Z83" s="309"/>
      <c r="AA83" s="63"/>
      <c r="AB83" s="63"/>
      <c r="AC83" s="63"/>
      <c r="AD83" s="63"/>
      <c r="AE83" s="63"/>
      <c r="AF83" s="8"/>
      <c r="AG83" s="142"/>
      <c r="AH83" s="142"/>
      <c r="AI83" s="142"/>
      <c r="AJ83" s="142"/>
      <c r="AK83" s="203">
        <v>11</v>
      </c>
    </row>
    <row r="84" spans="1:37" s="203" customFormat="1" ht="11.45" customHeight="1">
      <c r="A84" s="572"/>
      <c r="B84" s="572"/>
      <c r="C84" s="572"/>
      <c r="D84" s="572"/>
      <c r="E84" s="572"/>
      <c r="F84" s="68"/>
      <c r="G84" s="68"/>
      <c r="N84" s="63"/>
      <c r="P84" s="63"/>
      <c r="Q84" s="68"/>
      <c r="R84" s="68"/>
      <c r="S84" s="63"/>
      <c r="T84" s="63"/>
      <c r="U84" s="63"/>
      <c r="V84" s="63"/>
      <c r="W84" s="68"/>
      <c r="X84" s="63"/>
      <c r="Y84" s="63"/>
      <c r="Z84" s="309"/>
      <c r="AA84" s="63"/>
      <c r="AB84" s="63"/>
      <c r="AC84" s="63"/>
      <c r="AD84" s="63"/>
      <c r="AE84" s="63"/>
      <c r="AF84" s="8"/>
      <c r="AG84" s="142"/>
      <c r="AH84" s="142"/>
      <c r="AI84" s="142"/>
      <c r="AJ84" s="142"/>
      <c r="AK84" s="203">
        <v>11</v>
      </c>
    </row>
    <row r="85" spans="1:37" s="203" customFormat="1" ht="11.45" customHeight="1">
      <c r="A85" s="572"/>
      <c r="B85" s="572"/>
      <c r="C85" s="572"/>
      <c r="D85" s="572"/>
      <c r="E85" s="572"/>
      <c r="F85" s="68"/>
      <c r="G85" s="68"/>
      <c r="N85" s="63"/>
      <c r="P85" s="63"/>
      <c r="Q85" s="68"/>
      <c r="R85" s="68"/>
      <c r="S85" s="63"/>
      <c r="T85" s="63"/>
      <c r="U85" s="63"/>
      <c r="V85" s="63"/>
      <c r="W85" s="68"/>
      <c r="X85" s="63"/>
      <c r="Y85" s="63"/>
      <c r="Z85" s="309"/>
      <c r="AA85" s="63"/>
      <c r="AB85" s="63"/>
      <c r="AC85" s="63"/>
      <c r="AD85" s="63"/>
      <c r="AE85" s="63"/>
      <c r="AF85" s="8"/>
      <c r="AG85" s="142"/>
      <c r="AH85" s="142"/>
      <c r="AI85" s="142"/>
      <c r="AJ85" s="142"/>
      <c r="AK85" s="203">
        <v>11</v>
      </c>
    </row>
    <row r="86" spans="1:37" s="203" customFormat="1" ht="11.45" customHeight="1">
      <c r="A86" s="572"/>
      <c r="B86" s="572"/>
      <c r="C86" s="572"/>
      <c r="D86" s="572"/>
      <c r="E86" s="572"/>
      <c r="F86" s="68"/>
      <c r="G86" s="68"/>
      <c r="N86" s="63"/>
      <c r="P86" s="63"/>
      <c r="Q86" s="68"/>
      <c r="R86" s="68"/>
      <c r="S86" s="63"/>
      <c r="T86" s="63"/>
      <c r="U86" s="63"/>
      <c r="V86" s="63"/>
      <c r="W86" s="68"/>
      <c r="X86" s="63"/>
      <c r="Y86" s="63"/>
      <c r="Z86" s="309"/>
      <c r="AA86" s="63"/>
      <c r="AB86" s="63"/>
      <c r="AC86" s="63"/>
      <c r="AD86" s="63"/>
      <c r="AE86" s="63"/>
      <c r="AF86" s="8"/>
      <c r="AG86" s="142"/>
      <c r="AH86" s="142"/>
      <c r="AI86" s="142"/>
      <c r="AJ86" s="142"/>
      <c r="AK86" s="203">
        <v>11</v>
      </c>
    </row>
    <row r="87" spans="1:37" s="203" customFormat="1" ht="11.45" customHeight="1">
      <c r="A87" s="572"/>
      <c r="B87" s="572"/>
      <c r="C87" s="572"/>
      <c r="D87" s="572"/>
      <c r="E87" s="572"/>
      <c r="F87" s="68"/>
      <c r="G87" s="68"/>
      <c r="N87" s="63"/>
      <c r="P87" s="63"/>
      <c r="Q87" s="68"/>
      <c r="R87" s="68"/>
      <c r="S87" s="63"/>
      <c r="T87" s="63"/>
      <c r="U87" s="63"/>
      <c r="V87" s="63"/>
      <c r="W87" s="68"/>
      <c r="X87" s="63"/>
      <c r="Y87" s="63"/>
      <c r="Z87" s="309"/>
      <c r="AA87" s="63"/>
      <c r="AB87" s="63"/>
      <c r="AC87" s="63"/>
      <c r="AD87" s="63"/>
      <c r="AE87" s="63"/>
      <c r="AF87" s="8"/>
      <c r="AG87" s="142"/>
      <c r="AH87" s="142"/>
      <c r="AI87" s="142"/>
      <c r="AJ87" s="142"/>
      <c r="AK87" s="203">
        <v>11</v>
      </c>
    </row>
    <row r="88" spans="1:37" s="203" customFormat="1" ht="11.45" customHeight="1">
      <c r="A88" s="572"/>
      <c r="B88" s="572"/>
      <c r="C88" s="572"/>
      <c r="D88" s="572"/>
      <c r="E88" s="572"/>
      <c r="F88" s="68"/>
      <c r="G88" s="68"/>
      <c r="N88" s="63"/>
      <c r="P88" s="63"/>
      <c r="Q88" s="68"/>
      <c r="R88" s="68"/>
      <c r="S88" s="63"/>
      <c r="T88" s="63"/>
      <c r="U88" s="63"/>
      <c r="V88" s="63"/>
      <c r="W88" s="68"/>
      <c r="X88" s="63"/>
      <c r="Y88" s="63"/>
      <c r="Z88" s="309"/>
      <c r="AA88" s="63"/>
      <c r="AB88" s="63"/>
      <c r="AC88" s="63"/>
      <c r="AD88" s="63"/>
      <c r="AE88" s="63"/>
      <c r="AF88" s="8"/>
      <c r="AG88" s="142"/>
      <c r="AH88" s="142"/>
      <c r="AI88" s="142"/>
      <c r="AJ88" s="142"/>
      <c r="AK88" s="203">
        <v>11</v>
      </c>
    </row>
    <row r="89" spans="1:37" s="203" customFormat="1" ht="11.45" customHeight="1">
      <c r="A89" s="572"/>
      <c r="B89" s="572"/>
      <c r="C89" s="572"/>
      <c r="D89" s="572"/>
      <c r="E89" s="572"/>
      <c r="F89" s="68"/>
      <c r="G89" s="68"/>
      <c r="N89" s="63"/>
      <c r="P89" s="63"/>
      <c r="Q89" s="68"/>
      <c r="R89" s="68"/>
      <c r="S89" s="63"/>
      <c r="T89" s="63"/>
      <c r="U89" s="63"/>
      <c r="V89" s="63"/>
      <c r="W89" s="68"/>
      <c r="X89" s="63"/>
      <c r="Y89" s="63"/>
      <c r="Z89" s="309"/>
      <c r="AA89" s="63"/>
      <c r="AB89" s="63"/>
      <c r="AC89" s="63"/>
      <c r="AD89" s="63"/>
      <c r="AE89" s="63"/>
      <c r="AF89" s="8"/>
      <c r="AG89" s="142"/>
      <c r="AH89" s="142"/>
      <c r="AI89" s="142"/>
      <c r="AJ89" s="142"/>
      <c r="AK89" s="203">
        <v>11</v>
      </c>
    </row>
    <row r="90" spans="1:37" s="203" customFormat="1" ht="11.45" customHeight="1">
      <c r="A90" s="572"/>
      <c r="B90" s="572"/>
      <c r="C90" s="572"/>
      <c r="D90" s="572"/>
      <c r="E90" s="572"/>
      <c r="F90" s="68"/>
      <c r="G90" s="68"/>
      <c r="N90" s="63"/>
      <c r="P90" s="63"/>
      <c r="Q90" s="68"/>
      <c r="R90" s="68"/>
      <c r="S90" s="63"/>
      <c r="T90" s="63"/>
      <c r="U90" s="63"/>
      <c r="V90" s="63"/>
      <c r="W90" s="68"/>
      <c r="X90" s="63"/>
      <c r="Y90" s="63"/>
      <c r="Z90" s="309"/>
      <c r="AA90" s="63"/>
      <c r="AB90" s="63"/>
      <c r="AC90" s="63"/>
      <c r="AD90" s="63"/>
      <c r="AE90" s="63"/>
      <c r="AF90" s="8"/>
      <c r="AG90" s="142"/>
      <c r="AH90" s="142"/>
      <c r="AI90" s="142"/>
      <c r="AJ90" s="142"/>
      <c r="AK90" s="203">
        <v>11</v>
      </c>
    </row>
    <row r="91" spans="1:37" s="203" customFormat="1" ht="11.45" customHeight="1">
      <c r="A91" s="572"/>
      <c r="B91" s="572"/>
      <c r="C91" s="572"/>
      <c r="D91" s="572"/>
      <c r="E91" s="572"/>
      <c r="F91" s="68"/>
      <c r="G91" s="68"/>
      <c r="N91" s="63"/>
      <c r="P91" s="63"/>
      <c r="Q91" s="68"/>
      <c r="R91" s="68"/>
      <c r="S91" s="63"/>
      <c r="T91" s="63"/>
      <c r="U91" s="63"/>
      <c r="V91" s="63"/>
      <c r="W91" s="68"/>
      <c r="X91" s="63"/>
      <c r="Y91" s="63"/>
      <c r="Z91" s="309"/>
      <c r="AA91" s="63"/>
      <c r="AB91" s="63"/>
      <c r="AC91" s="63"/>
      <c r="AD91" s="63"/>
      <c r="AE91" s="63"/>
      <c r="AF91" s="8"/>
      <c r="AG91" s="142"/>
      <c r="AH91" s="142"/>
      <c r="AI91" s="142"/>
      <c r="AJ91" s="142"/>
      <c r="AK91" s="203">
        <v>11</v>
      </c>
    </row>
    <row r="92" spans="1:37" s="203" customFormat="1" ht="11.45" customHeight="1">
      <c r="A92" s="572"/>
      <c r="B92" s="572"/>
      <c r="C92" s="572"/>
      <c r="D92" s="572"/>
      <c r="E92" s="572"/>
      <c r="F92" s="68"/>
      <c r="G92" s="68"/>
      <c r="N92" s="63"/>
      <c r="P92" s="63"/>
      <c r="Q92" s="68"/>
      <c r="R92" s="68"/>
      <c r="S92" s="63"/>
      <c r="T92" s="63"/>
      <c r="U92" s="63"/>
      <c r="V92" s="63"/>
      <c r="W92" s="68"/>
      <c r="X92" s="63"/>
      <c r="Y92" s="63"/>
      <c r="Z92" s="309"/>
      <c r="AA92" s="63"/>
      <c r="AB92" s="63"/>
      <c r="AC92" s="63"/>
      <c r="AD92" s="63"/>
      <c r="AE92" s="63"/>
      <c r="AF92" s="8"/>
      <c r="AG92" s="142"/>
      <c r="AH92" s="142"/>
      <c r="AI92" s="142"/>
      <c r="AJ92" s="142"/>
      <c r="AK92" s="203">
        <v>11</v>
      </c>
    </row>
    <row r="93" spans="1:37" s="203" customFormat="1" ht="11.45" customHeight="1">
      <c r="A93" s="572"/>
      <c r="B93" s="572"/>
      <c r="C93" s="572"/>
      <c r="D93" s="572"/>
      <c r="E93" s="572"/>
      <c r="F93" s="68"/>
      <c r="G93" s="68"/>
      <c r="N93" s="63"/>
      <c r="P93" s="63"/>
      <c r="Q93" s="68"/>
      <c r="R93" s="68"/>
      <c r="S93" s="63"/>
      <c r="T93" s="63"/>
      <c r="U93" s="63"/>
      <c r="V93" s="63"/>
      <c r="W93" s="68"/>
      <c r="X93" s="63"/>
      <c r="Y93" s="63"/>
      <c r="Z93" s="309"/>
      <c r="AA93" s="63"/>
      <c r="AB93" s="63"/>
      <c r="AC93" s="63"/>
      <c r="AD93" s="63"/>
      <c r="AE93" s="63"/>
      <c r="AF93" s="8"/>
      <c r="AG93" s="142"/>
      <c r="AH93" s="142"/>
      <c r="AI93" s="142"/>
      <c r="AJ93" s="142"/>
      <c r="AK93" s="203">
        <v>11</v>
      </c>
    </row>
    <row r="94" spans="1:37" s="203" customFormat="1" ht="11.45" customHeight="1">
      <c r="A94" s="572"/>
      <c r="B94" s="572"/>
      <c r="C94" s="572"/>
      <c r="D94" s="572"/>
      <c r="E94" s="572"/>
      <c r="F94" s="68"/>
      <c r="G94" s="68"/>
      <c r="N94" s="63"/>
      <c r="P94" s="63"/>
      <c r="Q94" s="68"/>
      <c r="R94" s="68"/>
      <c r="S94" s="63"/>
      <c r="T94" s="63"/>
      <c r="U94" s="63"/>
      <c r="V94" s="63"/>
      <c r="W94" s="68"/>
      <c r="X94" s="63"/>
      <c r="Y94" s="63"/>
      <c r="Z94" s="309"/>
      <c r="AA94" s="63"/>
      <c r="AB94" s="63"/>
      <c r="AC94" s="63"/>
      <c r="AD94" s="63"/>
      <c r="AE94" s="63"/>
      <c r="AF94" s="8"/>
      <c r="AG94" s="142"/>
      <c r="AH94" s="142"/>
      <c r="AI94" s="142"/>
      <c r="AJ94" s="142"/>
      <c r="AK94" s="203">
        <v>11</v>
      </c>
    </row>
    <row r="95" spans="1:37" s="203" customFormat="1" ht="11.45" customHeight="1">
      <c r="A95" s="572"/>
      <c r="B95" s="572"/>
      <c r="C95" s="572"/>
      <c r="D95" s="572"/>
      <c r="E95" s="572"/>
      <c r="F95" s="68"/>
      <c r="G95" s="68"/>
      <c r="N95" s="63"/>
      <c r="P95" s="63"/>
      <c r="Q95" s="68"/>
      <c r="R95" s="68"/>
      <c r="S95" s="63"/>
      <c r="T95" s="63"/>
      <c r="U95" s="63"/>
      <c r="V95" s="63"/>
      <c r="W95" s="68"/>
      <c r="X95" s="63"/>
      <c r="Y95" s="63"/>
      <c r="Z95" s="309"/>
      <c r="AA95" s="63"/>
      <c r="AB95" s="63"/>
      <c r="AC95" s="63"/>
      <c r="AD95" s="63"/>
      <c r="AE95" s="63"/>
      <c r="AF95" s="8"/>
      <c r="AG95" s="142"/>
      <c r="AH95" s="142"/>
      <c r="AI95" s="142"/>
      <c r="AJ95" s="142"/>
      <c r="AK95" s="203">
        <v>11</v>
      </c>
    </row>
    <row r="96" spans="1:37" s="203" customFormat="1" ht="11.45" customHeight="1">
      <c r="A96" s="572"/>
      <c r="B96" s="572"/>
      <c r="C96" s="572"/>
      <c r="D96" s="572"/>
      <c r="E96" s="572"/>
      <c r="F96" s="68"/>
      <c r="G96" s="68"/>
      <c r="N96" s="63"/>
      <c r="P96" s="63"/>
      <c r="Q96" s="68"/>
      <c r="R96" s="68"/>
      <c r="S96" s="63"/>
      <c r="T96" s="63"/>
      <c r="U96" s="63"/>
      <c r="V96" s="63"/>
      <c r="W96" s="68"/>
      <c r="X96" s="63"/>
      <c r="Y96" s="63"/>
      <c r="Z96" s="309"/>
      <c r="AA96" s="63"/>
      <c r="AB96" s="63"/>
      <c r="AC96" s="63"/>
      <c r="AD96" s="63"/>
      <c r="AE96" s="63"/>
      <c r="AF96" s="8"/>
      <c r="AG96" s="142"/>
      <c r="AH96" s="142"/>
      <c r="AI96" s="142"/>
      <c r="AJ96" s="142"/>
      <c r="AK96" s="203">
        <v>11</v>
      </c>
    </row>
    <row r="97" spans="1:37" s="203" customFormat="1" ht="11.45" customHeight="1">
      <c r="A97" s="572"/>
      <c r="B97" s="572"/>
      <c r="C97" s="572"/>
      <c r="D97" s="572"/>
      <c r="E97" s="572"/>
      <c r="F97" s="68"/>
      <c r="G97" s="68"/>
      <c r="N97" s="63"/>
      <c r="P97" s="63"/>
      <c r="Q97" s="68"/>
      <c r="R97" s="68"/>
      <c r="S97" s="63"/>
      <c r="T97" s="63"/>
      <c r="U97" s="63"/>
      <c r="V97" s="63"/>
      <c r="W97" s="68"/>
      <c r="X97" s="63"/>
      <c r="Y97" s="63"/>
      <c r="Z97" s="309"/>
      <c r="AA97" s="63"/>
      <c r="AB97" s="63"/>
      <c r="AC97" s="63"/>
      <c r="AD97" s="63"/>
      <c r="AE97" s="63"/>
      <c r="AF97" s="8"/>
      <c r="AG97" s="142"/>
      <c r="AH97" s="142"/>
      <c r="AI97" s="142"/>
      <c r="AJ97" s="142"/>
      <c r="AK97" s="203">
        <v>11</v>
      </c>
    </row>
    <row r="98" spans="1:37" s="203" customFormat="1" ht="11.45" customHeight="1">
      <c r="A98" s="572"/>
      <c r="B98" s="572"/>
      <c r="C98" s="572"/>
      <c r="D98" s="572"/>
      <c r="E98" s="572"/>
      <c r="F98" s="68"/>
      <c r="G98" s="68"/>
      <c r="N98" s="63"/>
      <c r="P98" s="63"/>
      <c r="Q98" s="68"/>
      <c r="R98" s="68"/>
      <c r="S98" s="63"/>
      <c r="T98" s="63"/>
      <c r="U98" s="63"/>
      <c r="V98" s="63"/>
      <c r="W98" s="68"/>
      <c r="X98" s="63"/>
      <c r="Y98" s="63"/>
      <c r="Z98" s="309"/>
      <c r="AA98" s="63"/>
      <c r="AB98" s="63"/>
      <c r="AC98" s="63"/>
      <c r="AD98" s="63"/>
      <c r="AE98" s="63"/>
      <c r="AF98" s="8"/>
      <c r="AG98" s="142"/>
      <c r="AH98" s="142"/>
      <c r="AI98" s="142"/>
      <c r="AJ98" s="142"/>
      <c r="AK98" s="203">
        <v>11</v>
      </c>
    </row>
    <row r="99" spans="1:37" s="203" customFormat="1" ht="11.45" customHeight="1">
      <c r="A99" s="572"/>
      <c r="B99" s="572"/>
      <c r="C99" s="572"/>
      <c r="D99" s="572"/>
      <c r="E99" s="572"/>
      <c r="F99" s="68"/>
      <c r="G99" s="68"/>
      <c r="N99" s="63"/>
      <c r="P99" s="63"/>
      <c r="Q99" s="68"/>
      <c r="R99" s="68"/>
      <c r="S99" s="63"/>
      <c r="T99" s="63"/>
      <c r="U99" s="63"/>
      <c r="V99" s="63"/>
      <c r="W99" s="68"/>
      <c r="X99" s="63"/>
      <c r="Y99" s="63"/>
      <c r="Z99" s="309"/>
      <c r="AA99" s="63"/>
      <c r="AB99" s="63"/>
      <c r="AC99" s="63"/>
      <c r="AD99" s="63"/>
      <c r="AE99" s="63"/>
      <c r="AF99" s="8"/>
      <c r="AG99" s="142"/>
      <c r="AH99" s="142"/>
      <c r="AI99" s="142"/>
      <c r="AJ99" s="142"/>
      <c r="AK99" s="203">
        <v>11</v>
      </c>
    </row>
    <row r="100" spans="1:37" s="203" customFormat="1" ht="11.45" customHeight="1">
      <c r="A100" s="572"/>
      <c r="B100" s="572"/>
      <c r="C100" s="572"/>
      <c r="D100" s="572"/>
      <c r="E100" s="572"/>
      <c r="F100" s="68"/>
      <c r="G100" s="68"/>
      <c r="N100" s="63"/>
      <c r="P100" s="63"/>
      <c r="Q100" s="68"/>
      <c r="R100" s="68"/>
      <c r="S100" s="63"/>
      <c r="T100" s="63"/>
      <c r="U100" s="63"/>
      <c r="V100" s="63"/>
      <c r="W100" s="68"/>
      <c r="X100" s="63"/>
      <c r="Y100" s="63"/>
      <c r="Z100" s="309"/>
      <c r="AA100" s="63"/>
      <c r="AB100" s="63"/>
      <c r="AC100" s="63"/>
      <c r="AD100" s="63"/>
      <c r="AE100" s="63"/>
      <c r="AF100" s="8"/>
      <c r="AG100" s="142"/>
      <c r="AH100" s="142"/>
      <c r="AI100" s="142"/>
      <c r="AJ100" s="142"/>
      <c r="AK100" s="203">
        <v>11</v>
      </c>
    </row>
    <row r="101" spans="1:37" s="203" customFormat="1" ht="11.45" customHeight="1">
      <c r="A101" s="572"/>
      <c r="B101" s="572"/>
      <c r="C101" s="572"/>
      <c r="D101" s="572"/>
      <c r="E101" s="572"/>
      <c r="F101" s="68"/>
      <c r="G101" s="68"/>
      <c r="N101" s="63"/>
      <c r="P101" s="63"/>
      <c r="Q101" s="68"/>
      <c r="R101" s="68"/>
      <c r="S101" s="63"/>
      <c r="T101" s="63"/>
      <c r="U101" s="63"/>
      <c r="V101" s="63"/>
      <c r="W101" s="68"/>
      <c r="X101" s="63"/>
      <c r="Y101" s="63"/>
      <c r="Z101" s="309"/>
      <c r="AA101" s="63"/>
      <c r="AB101" s="63"/>
      <c r="AC101" s="63"/>
      <c r="AD101" s="63"/>
      <c r="AE101" s="63"/>
      <c r="AF101" s="8"/>
      <c r="AG101" s="142"/>
      <c r="AH101" s="142"/>
      <c r="AI101" s="142"/>
      <c r="AJ101" s="142"/>
      <c r="AK101" s="203">
        <v>11</v>
      </c>
    </row>
    <row r="102" spans="1:37" s="203" customFormat="1" ht="11.45" customHeight="1">
      <c r="A102" s="572"/>
      <c r="B102" s="572"/>
      <c r="C102" s="572"/>
      <c r="D102" s="572"/>
      <c r="E102" s="572"/>
      <c r="F102" s="68"/>
      <c r="G102" s="68"/>
      <c r="N102" s="63"/>
      <c r="P102" s="63"/>
      <c r="Q102" s="68"/>
      <c r="R102" s="68"/>
      <c r="S102" s="63"/>
      <c r="T102" s="63"/>
      <c r="U102" s="63"/>
      <c r="V102" s="63"/>
      <c r="W102" s="68"/>
      <c r="X102" s="63"/>
      <c r="Y102" s="63"/>
      <c r="Z102" s="309"/>
      <c r="AA102" s="63"/>
      <c r="AB102" s="63"/>
      <c r="AC102" s="63"/>
      <c r="AD102" s="63"/>
      <c r="AE102" s="63"/>
      <c r="AF102" s="8"/>
      <c r="AG102" s="142"/>
      <c r="AH102" s="142"/>
      <c r="AI102" s="142"/>
      <c r="AJ102" s="142"/>
      <c r="AK102" s="203">
        <v>11</v>
      </c>
    </row>
    <row r="103" spans="1:37" s="203" customFormat="1" ht="11.45" customHeight="1">
      <c r="A103" s="572"/>
      <c r="B103" s="572"/>
      <c r="C103" s="572"/>
      <c r="D103" s="572"/>
      <c r="E103" s="572"/>
      <c r="F103" s="68"/>
      <c r="G103" s="68"/>
      <c r="N103" s="63"/>
      <c r="P103" s="63"/>
      <c r="Q103" s="68"/>
      <c r="R103" s="68"/>
      <c r="S103" s="63"/>
      <c r="T103" s="63"/>
      <c r="U103" s="63"/>
      <c r="V103" s="63"/>
      <c r="W103" s="68"/>
      <c r="X103" s="63"/>
      <c r="Y103" s="63"/>
      <c r="Z103" s="309"/>
      <c r="AA103" s="63"/>
      <c r="AB103" s="63"/>
      <c r="AC103" s="63"/>
      <c r="AD103" s="63"/>
      <c r="AE103" s="63"/>
      <c r="AF103" s="8"/>
      <c r="AG103" s="142"/>
      <c r="AH103" s="142"/>
      <c r="AI103" s="142"/>
      <c r="AJ103" s="142"/>
      <c r="AK103" s="203">
        <v>11</v>
      </c>
    </row>
    <row r="104" spans="1:37" s="203" customFormat="1" ht="11.45" customHeight="1">
      <c r="A104" s="572"/>
      <c r="B104" s="572"/>
      <c r="C104" s="572"/>
      <c r="D104" s="572"/>
      <c r="E104" s="572"/>
      <c r="F104" s="68"/>
      <c r="G104" s="68"/>
      <c r="N104" s="63"/>
      <c r="P104" s="63"/>
      <c r="Q104" s="68"/>
      <c r="R104" s="68"/>
      <c r="S104" s="63"/>
      <c r="T104" s="63"/>
      <c r="U104" s="63"/>
      <c r="V104" s="63"/>
      <c r="W104" s="68"/>
      <c r="X104" s="63"/>
      <c r="Y104" s="63"/>
      <c r="Z104" s="309"/>
      <c r="AA104" s="63"/>
      <c r="AB104" s="63"/>
      <c r="AC104" s="63"/>
      <c r="AD104" s="63"/>
      <c r="AE104" s="63"/>
      <c r="AF104" s="8"/>
      <c r="AG104" s="142"/>
      <c r="AH104" s="142"/>
      <c r="AI104" s="142"/>
      <c r="AJ104" s="142"/>
      <c r="AK104" s="203">
        <v>11</v>
      </c>
    </row>
    <row r="105" spans="1:37" s="203" customFormat="1" ht="11.45" customHeight="1">
      <c r="A105" s="572"/>
      <c r="B105" s="572"/>
      <c r="C105" s="572"/>
      <c r="D105" s="572"/>
      <c r="E105" s="572"/>
      <c r="F105" s="68"/>
      <c r="G105" s="68"/>
      <c r="N105" s="63"/>
      <c r="P105" s="63"/>
      <c r="Q105" s="68"/>
      <c r="R105" s="68"/>
      <c r="S105" s="63"/>
      <c r="T105" s="63"/>
      <c r="U105" s="63"/>
      <c r="V105" s="63"/>
      <c r="W105" s="68"/>
      <c r="X105" s="63"/>
      <c r="Y105" s="63"/>
      <c r="Z105" s="309"/>
      <c r="AA105" s="63"/>
      <c r="AB105" s="63"/>
      <c r="AC105" s="63"/>
      <c r="AD105" s="63"/>
      <c r="AE105" s="63"/>
      <c r="AF105" s="8"/>
      <c r="AG105" s="142"/>
      <c r="AH105" s="142"/>
      <c r="AI105" s="142"/>
      <c r="AJ105" s="142"/>
      <c r="AK105" s="203">
        <v>11</v>
      </c>
    </row>
    <row r="106" spans="1:37" s="203" customFormat="1" ht="11.45" customHeight="1">
      <c r="A106" s="572"/>
      <c r="B106" s="572"/>
      <c r="C106" s="572"/>
      <c r="D106" s="572"/>
      <c r="E106" s="572"/>
      <c r="F106" s="68"/>
      <c r="G106" s="68"/>
      <c r="N106" s="63"/>
      <c r="P106" s="63"/>
      <c r="Q106" s="68"/>
      <c r="R106" s="68"/>
      <c r="S106" s="63"/>
      <c r="T106" s="63"/>
      <c r="U106" s="63"/>
      <c r="V106" s="63"/>
      <c r="W106" s="68"/>
      <c r="X106" s="63"/>
      <c r="Y106" s="63"/>
      <c r="Z106" s="309"/>
      <c r="AA106" s="63"/>
      <c r="AB106" s="63"/>
      <c r="AC106" s="63"/>
      <c r="AD106" s="63"/>
      <c r="AE106" s="63"/>
      <c r="AF106" s="8"/>
      <c r="AG106" s="142"/>
      <c r="AH106" s="142"/>
      <c r="AI106" s="142"/>
      <c r="AJ106" s="142"/>
      <c r="AK106" s="203">
        <v>11</v>
      </c>
    </row>
    <row r="107" spans="1:37" s="203" customFormat="1" ht="11.45" customHeight="1">
      <c r="A107" s="572"/>
      <c r="B107" s="572"/>
      <c r="C107" s="572"/>
      <c r="D107" s="572"/>
      <c r="E107" s="572"/>
      <c r="F107" s="68"/>
      <c r="G107" s="68"/>
      <c r="N107" s="63"/>
      <c r="P107" s="63"/>
      <c r="Q107" s="68"/>
      <c r="R107" s="68"/>
      <c r="S107" s="63"/>
      <c r="T107" s="63"/>
      <c r="U107" s="63"/>
      <c r="V107" s="63"/>
      <c r="W107" s="68"/>
      <c r="X107" s="63"/>
      <c r="Y107" s="63"/>
      <c r="Z107" s="309"/>
      <c r="AA107" s="63"/>
      <c r="AB107" s="63"/>
      <c r="AC107" s="63"/>
      <c r="AD107" s="63"/>
      <c r="AE107" s="63"/>
      <c r="AF107" s="8"/>
      <c r="AG107" s="142"/>
      <c r="AH107" s="142"/>
      <c r="AI107" s="142"/>
      <c r="AJ107" s="142"/>
      <c r="AK107" s="203">
        <v>11</v>
      </c>
    </row>
    <row r="108" spans="1:37" s="203" customFormat="1" ht="11.45" customHeight="1">
      <c r="A108" s="572"/>
      <c r="B108" s="572"/>
      <c r="C108" s="572"/>
      <c r="D108" s="572"/>
      <c r="E108" s="572"/>
      <c r="F108" s="68"/>
      <c r="G108" s="68"/>
      <c r="N108" s="63"/>
      <c r="P108" s="63"/>
      <c r="Q108" s="68"/>
      <c r="R108" s="68"/>
      <c r="S108" s="63"/>
      <c r="T108" s="63"/>
      <c r="U108" s="63"/>
      <c r="V108" s="63"/>
      <c r="W108" s="68"/>
      <c r="X108" s="63"/>
      <c r="Y108" s="63"/>
      <c r="Z108" s="309"/>
      <c r="AA108" s="63"/>
      <c r="AB108" s="63"/>
      <c r="AC108" s="63"/>
      <c r="AD108" s="63"/>
      <c r="AE108" s="63"/>
      <c r="AF108" s="8"/>
      <c r="AG108" s="142"/>
      <c r="AH108" s="142"/>
      <c r="AI108" s="142"/>
      <c r="AJ108" s="142"/>
      <c r="AK108" s="203">
        <v>11</v>
      </c>
    </row>
    <row r="109" spans="1:37" s="203" customFormat="1" ht="11.45" customHeight="1">
      <c r="A109" s="572"/>
      <c r="B109" s="572"/>
      <c r="C109" s="572"/>
      <c r="D109" s="572"/>
      <c r="E109" s="572"/>
      <c r="F109" s="68"/>
      <c r="G109" s="68"/>
      <c r="N109" s="63"/>
      <c r="P109" s="63"/>
      <c r="Q109" s="68"/>
      <c r="R109" s="68"/>
      <c r="S109" s="63"/>
      <c r="T109" s="63"/>
      <c r="U109" s="63"/>
      <c r="V109" s="63"/>
      <c r="W109" s="68"/>
      <c r="X109" s="63"/>
      <c r="Y109" s="63"/>
      <c r="Z109" s="309"/>
      <c r="AA109" s="63"/>
      <c r="AB109" s="63"/>
      <c r="AC109" s="63"/>
      <c r="AD109" s="63"/>
      <c r="AE109" s="63"/>
      <c r="AF109" s="8"/>
      <c r="AG109" s="142"/>
      <c r="AH109" s="142"/>
      <c r="AI109" s="142"/>
      <c r="AJ109" s="142"/>
      <c r="AK109" s="203">
        <v>11</v>
      </c>
    </row>
    <row r="110" spans="1:37" s="203" customFormat="1" ht="11.45" customHeight="1">
      <c r="A110" s="572"/>
      <c r="B110" s="572"/>
      <c r="C110" s="572"/>
      <c r="D110" s="572"/>
      <c r="E110" s="572"/>
      <c r="F110" s="68"/>
      <c r="G110" s="68"/>
      <c r="N110" s="63"/>
      <c r="P110" s="63"/>
      <c r="Q110" s="68"/>
      <c r="R110" s="68"/>
      <c r="S110" s="63"/>
      <c r="T110" s="63"/>
      <c r="U110" s="63"/>
      <c r="V110" s="63"/>
      <c r="W110" s="68"/>
      <c r="X110" s="63"/>
      <c r="Y110" s="63"/>
      <c r="Z110" s="309"/>
      <c r="AA110" s="63"/>
      <c r="AB110" s="63"/>
      <c r="AC110" s="63"/>
      <c r="AD110" s="63"/>
      <c r="AE110" s="63"/>
      <c r="AF110" s="8"/>
      <c r="AG110" s="142"/>
      <c r="AH110" s="142"/>
      <c r="AI110" s="142"/>
      <c r="AJ110" s="142"/>
      <c r="AK110" s="203">
        <v>11</v>
      </c>
    </row>
    <row r="111" spans="1:37" s="203" customFormat="1" ht="11.45" customHeight="1">
      <c r="A111" s="572"/>
      <c r="B111" s="572"/>
      <c r="C111" s="572"/>
      <c r="D111" s="572"/>
      <c r="E111" s="572"/>
      <c r="F111" s="68"/>
      <c r="G111" s="68"/>
      <c r="N111" s="63"/>
      <c r="P111" s="63"/>
      <c r="Q111" s="68"/>
      <c r="R111" s="68"/>
      <c r="S111" s="63"/>
      <c r="T111" s="63"/>
      <c r="U111" s="63"/>
      <c r="V111" s="63"/>
      <c r="W111" s="68"/>
      <c r="X111" s="63"/>
      <c r="Y111" s="63"/>
      <c r="Z111" s="309"/>
      <c r="AA111" s="63"/>
      <c r="AB111" s="63"/>
      <c r="AC111" s="63"/>
      <c r="AD111" s="63"/>
      <c r="AE111" s="63"/>
      <c r="AF111" s="8"/>
      <c r="AG111" s="142"/>
      <c r="AH111" s="142"/>
      <c r="AI111" s="142"/>
      <c r="AJ111" s="142"/>
      <c r="AK111" s="203">
        <v>11</v>
      </c>
    </row>
    <row r="112" spans="1:37" s="203" customFormat="1" ht="11.45" customHeight="1">
      <c r="A112" s="572"/>
      <c r="B112" s="572"/>
      <c r="C112" s="572"/>
      <c r="D112" s="572"/>
      <c r="E112" s="572"/>
      <c r="F112" s="68"/>
      <c r="G112" s="68"/>
      <c r="N112" s="63"/>
      <c r="P112" s="63"/>
      <c r="Q112" s="68"/>
      <c r="R112" s="68"/>
      <c r="S112" s="63"/>
      <c r="T112" s="63"/>
      <c r="U112" s="63"/>
      <c r="V112" s="63"/>
      <c r="W112" s="68"/>
      <c r="X112" s="63"/>
      <c r="Y112" s="63"/>
      <c r="Z112" s="309"/>
      <c r="AA112" s="63"/>
      <c r="AB112" s="63"/>
      <c r="AC112" s="63"/>
      <c r="AD112" s="63"/>
      <c r="AE112" s="63"/>
      <c r="AF112" s="8"/>
      <c r="AG112" s="142"/>
      <c r="AH112" s="142"/>
      <c r="AI112" s="142"/>
      <c r="AJ112" s="142"/>
      <c r="AK112" s="203">
        <v>11</v>
      </c>
    </row>
    <row r="113" spans="1:37" s="203" customFormat="1" ht="11.45" customHeight="1">
      <c r="A113" s="572"/>
      <c r="B113" s="572"/>
      <c r="C113" s="572"/>
      <c r="D113" s="572"/>
      <c r="E113" s="572"/>
      <c r="F113" s="68"/>
      <c r="G113" s="68"/>
      <c r="N113" s="63"/>
      <c r="P113" s="63"/>
      <c r="Q113" s="68"/>
      <c r="R113" s="68"/>
      <c r="S113" s="63"/>
      <c r="T113" s="63"/>
      <c r="U113" s="63"/>
      <c r="V113" s="63"/>
      <c r="W113" s="68"/>
      <c r="X113" s="63"/>
      <c r="Y113" s="63"/>
      <c r="Z113" s="309"/>
      <c r="AA113" s="63"/>
      <c r="AB113" s="63"/>
      <c r="AC113" s="63"/>
      <c r="AD113" s="63"/>
      <c r="AE113" s="63"/>
      <c r="AF113" s="8"/>
      <c r="AG113" s="142"/>
      <c r="AH113" s="142"/>
      <c r="AI113" s="142"/>
      <c r="AJ113" s="142"/>
      <c r="AK113" s="203">
        <v>11</v>
      </c>
    </row>
    <row r="114" spans="1:37" s="203" customFormat="1" ht="11.45" customHeight="1">
      <c r="A114" s="572"/>
      <c r="B114" s="572"/>
      <c r="C114" s="572"/>
      <c r="D114" s="572"/>
      <c r="E114" s="572"/>
      <c r="F114" s="68"/>
      <c r="G114" s="68"/>
      <c r="N114" s="63"/>
      <c r="P114" s="63"/>
      <c r="Q114" s="68"/>
      <c r="R114" s="68"/>
      <c r="S114" s="63"/>
      <c r="T114" s="63"/>
      <c r="U114" s="63"/>
      <c r="V114" s="63"/>
      <c r="W114" s="68"/>
      <c r="X114" s="63"/>
      <c r="Y114" s="63"/>
      <c r="Z114" s="309"/>
      <c r="AA114" s="63"/>
      <c r="AB114" s="63"/>
      <c r="AC114" s="63"/>
      <c r="AD114" s="63"/>
      <c r="AE114" s="63"/>
      <c r="AF114" s="8"/>
      <c r="AG114" s="142"/>
      <c r="AH114" s="142"/>
      <c r="AI114" s="142"/>
      <c r="AJ114" s="142"/>
      <c r="AK114" s="203">
        <v>11</v>
      </c>
    </row>
    <row r="115" spans="1:37" s="203" customFormat="1" ht="11.45" customHeight="1">
      <c r="A115" s="572"/>
      <c r="B115" s="572"/>
      <c r="C115" s="572"/>
      <c r="D115" s="572"/>
      <c r="E115" s="572"/>
      <c r="F115" s="68"/>
      <c r="G115" s="68"/>
      <c r="N115" s="63"/>
      <c r="P115" s="63"/>
      <c r="Q115" s="68"/>
      <c r="R115" s="68"/>
      <c r="S115" s="63"/>
      <c r="T115" s="63"/>
      <c r="U115" s="63"/>
      <c r="V115" s="63"/>
      <c r="W115" s="68"/>
      <c r="X115" s="63"/>
      <c r="Y115" s="63"/>
      <c r="Z115" s="309"/>
      <c r="AA115" s="63"/>
      <c r="AB115" s="63"/>
      <c r="AC115" s="63"/>
      <c r="AD115" s="63"/>
      <c r="AE115" s="63"/>
      <c r="AF115" s="8"/>
      <c r="AG115" s="142"/>
      <c r="AH115" s="142"/>
      <c r="AI115" s="142"/>
      <c r="AJ115" s="142"/>
      <c r="AK115" s="203">
        <v>11</v>
      </c>
    </row>
    <row r="116" spans="1:37" s="203" customFormat="1" ht="11.45" customHeight="1">
      <c r="A116" s="572"/>
      <c r="B116" s="572"/>
      <c r="C116" s="572"/>
      <c r="D116" s="572"/>
      <c r="E116" s="572"/>
      <c r="F116" s="68"/>
      <c r="G116" s="68"/>
      <c r="N116" s="63"/>
      <c r="P116" s="63"/>
      <c r="Q116" s="68"/>
      <c r="R116" s="68"/>
      <c r="S116" s="63"/>
      <c r="T116" s="63"/>
      <c r="U116" s="63"/>
      <c r="V116" s="63"/>
      <c r="W116" s="68"/>
      <c r="X116" s="63"/>
      <c r="Y116" s="63"/>
      <c r="Z116" s="309"/>
      <c r="AA116" s="63"/>
      <c r="AB116" s="63"/>
      <c r="AC116" s="63"/>
      <c r="AD116" s="63"/>
      <c r="AE116" s="63"/>
      <c r="AF116" s="8"/>
      <c r="AG116" s="142"/>
      <c r="AH116" s="142"/>
      <c r="AI116" s="142"/>
      <c r="AJ116" s="142"/>
      <c r="AK116" s="203">
        <v>11</v>
      </c>
    </row>
    <row r="117" spans="1:37" s="203" customFormat="1" ht="11.45" customHeight="1">
      <c r="A117" s="572"/>
      <c r="B117" s="572"/>
      <c r="C117" s="572"/>
      <c r="D117" s="572"/>
      <c r="E117" s="572"/>
      <c r="F117" s="68"/>
      <c r="G117" s="68"/>
      <c r="N117" s="63"/>
      <c r="P117" s="63"/>
      <c r="Q117" s="68"/>
      <c r="R117" s="68"/>
      <c r="S117" s="63"/>
      <c r="T117" s="63"/>
      <c r="U117" s="63"/>
      <c r="V117" s="63"/>
      <c r="W117" s="68"/>
      <c r="X117" s="63"/>
      <c r="Y117" s="63"/>
      <c r="Z117" s="309"/>
      <c r="AA117" s="63"/>
      <c r="AB117" s="63"/>
      <c r="AC117" s="63"/>
      <c r="AD117" s="63"/>
      <c r="AE117" s="63"/>
      <c r="AF117" s="8"/>
      <c r="AG117" s="142"/>
      <c r="AH117" s="142"/>
      <c r="AI117" s="142"/>
      <c r="AJ117" s="142"/>
      <c r="AK117" s="203">
        <v>11</v>
      </c>
    </row>
    <row r="118" spans="1:37" s="203" customFormat="1" ht="11.45" customHeight="1">
      <c r="A118" s="572"/>
      <c r="B118" s="572"/>
      <c r="C118" s="572"/>
      <c r="D118" s="572"/>
      <c r="E118" s="572"/>
      <c r="F118" s="68"/>
      <c r="G118" s="68"/>
      <c r="N118" s="63"/>
      <c r="P118" s="63"/>
      <c r="Q118" s="68"/>
      <c r="R118" s="68"/>
      <c r="S118" s="63"/>
      <c r="T118" s="63"/>
      <c r="U118" s="63"/>
      <c r="V118" s="63"/>
      <c r="W118" s="68"/>
      <c r="X118" s="63"/>
      <c r="Y118" s="63"/>
      <c r="Z118" s="309"/>
      <c r="AA118" s="63"/>
      <c r="AB118" s="63"/>
      <c r="AC118" s="63"/>
      <c r="AD118" s="63"/>
      <c r="AE118" s="63"/>
      <c r="AF118" s="8"/>
      <c r="AG118" s="142"/>
      <c r="AH118" s="142"/>
      <c r="AI118" s="142"/>
      <c r="AJ118" s="142"/>
      <c r="AK118" s="203">
        <v>11</v>
      </c>
    </row>
    <row r="119" spans="1:37" s="203" customFormat="1" ht="11.45" customHeight="1">
      <c r="A119" s="572"/>
      <c r="B119" s="572"/>
      <c r="C119" s="572"/>
      <c r="D119" s="572"/>
      <c r="E119" s="572"/>
      <c r="F119" s="68"/>
      <c r="G119" s="68"/>
      <c r="N119" s="63"/>
      <c r="P119" s="63"/>
      <c r="Q119" s="68"/>
      <c r="R119" s="68"/>
      <c r="S119" s="63"/>
      <c r="T119" s="63"/>
      <c r="U119" s="63"/>
      <c r="V119" s="63"/>
      <c r="W119" s="68"/>
      <c r="X119" s="63"/>
      <c r="Y119" s="63"/>
      <c r="Z119" s="309"/>
      <c r="AA119" s="63"/>
      <c r="AB119" s="63"/>
      <c r="AC119" s="63"/>
      <c r="AD119" s="63"/>
      <c r="AE119" s="63"/>
      <c r="AF119" s="8"/>
      <c r="AG119" s="142"/>
      <c r="AH119" s="142"/>
      <c r="AI119" s="142"/>
      <c r="AJ119" s="142"/>
      <c r="AK119" s="203">
        <v>11</v>
      </c>
    </row>
    <row r="120" spans="1:37" s="203" customFormat="1" ht="11.45" customHeight="1">
      <c r="A120" s="572"/>
      <c r="B120" s="572"/>
      <c r="C120" s="572"/>
      <c r="D120" s="572"/>
      <c r="E120" s="572"/>
      <c r="F120" s="68"/>
      <c r="G120" s="68"/>
      <c r="N120" s="63"/>
      <c r="P120" s="63"/>
      <c r="Q120" s="68"/>
      <c r="R120" s="68"/>
      <c r="S120" s="63"/>
      <c r="T120" s="63"/>
      <c r="U120" s="63"/>
      <c r="V120" s="63"/>
      <c r="W120" s="68"/>
      <c r="X120" s="63"/>
      <c r="Y120" s="63"/>
      <c r="Z120" s="309"/>
      <c r="AA120" s="63"/>
      <c r="AB120" s="63"/>
      <c r="AC120" s="63"/>
      <c r="AD120" s="63"/>
      <c r="AE120" s="63"/>
      <c r="AF120" s="8"/>
      <c r="AG120" s="142"/>
      <c r="AH120" s="142"/>
      <c r="AI120" s="142"/>
      <c r="AJ120" s="142"/>
      <c r="AK120" s="203">
        <v>11</v>
      </c>
    </row>
    <row r="121" spans="1:37" s="203" customFormat="1" ht="11.45" customHeight="1">
      <c r="A121" s="572"/>
      <c r="B121" s="572"/>
      <c r="C121" s="572"/>
      <c r="D121" s="572"/>
      <c r="E121" s="572"/>
      <c r="F121" s="68"/>
      <c r="G121" s="68"/>
      <c r="N121" s="63"/>
      <c r="P121" s="63"/>
      <c r="Q121" s="68"/>
      <c r="R121" s="68"/>
      <c r="S121" s="63"/>
      <c r="T121" s="63"/>
      <c r="U121" s="63"/>
      <c r="V121" s="63"/>
      <c r="W121" s="68"/>
      <c r="X121" s="63"/>
      <c r="Y121" s="63"/>
      <c r="Z121" s="309"/>
      <c r="AA121" s="63"/>
      <c r="AB121" s="63"/>
      <c r="AC121" s="63"/>
      <c r="AD121" s="63"/>
      <c r="AE121" s="63"/>
      <c r="AF121" s="8"/>
      <c r="AG121" s="142"/>
      <c r="AH121" s="142"/>
      <c r="AI121" s="142"/>
      <c r="AJ121" s="142"/>
      <c r="AK121" s="203">
        <v>11</v>
      </c>
    </row>
    <row r="122" spans="1:37" s="203" customFormat="1" ht="11.45" customHeight="1">
      <c r="A122" s="572"/>
      <c r="B122" s="572"/>
      <c r="C122" s="572"/>
      <c r="D122" s="572"/>
      <c r="E122" s="572"/>
      <c r="F122" s="68"/>
      <c r="G122" s="68"/>
      <c r="N122" s="63"/>
      <c r="P122" s="63"/>
      <c r="Q122" s="68"/>
      <c r="R122" s="68"/>
      <c r="S122" s="63"/>
      <c r="T122" s="63"/>
      <c r="U122" s="63"/>
      <c r="V122" s="63"/>
      <c r="W122" s="68"/>
      <c r="X122" s="63"/>
      <c r="Y122" s="63"/>
      <c r="Z122" s="309"/>
      <c r="AA122" s="63"/>
      <c r="AB122" s="63"/>
      <c r="AC122" s="63"/>
      <c r="AD122" s="63"/>
      <c r="AE122" s="63"/>
      <c r="AF122" s="8"/>
      <c r="AG122" s="142"/>
      <c r="AH122" s="142"/>
      <c r="AI122" s="142"/>
      <c r="AJ122" s="142"/>
      <c r="AK122" s="203">
        <v>11</v>
      </c>
    </row>
    <row r="123" spans="1:37" s="203" customFormat="1" ht="11.45" customHeight="1">
      <c r="A123" s="572"/>
      <c r="B123" s="572"/>
      <c r="C123" s="572"/>
      <c r="D123" s="572"/>
      <c r="E123" s="572"/>
      <c r="F123" s="68"/>
      <c r="G123" s="68"/>
      <c r="N123" s="63"/>
      <c r="P123" s="63"/>
      <c r="Q123" s="68"/>
      <c r="R123" s="68"/>
      <c r="S123" s="63"/>
      <c r="T123" s="63"/>
      <c r="U123" s="63"/>
      <c r="V123" s="63"/>
      <c r="W123" s="68"/>
      <c r="X123" s="63"/>
      <c r="Y123" s="63"/>
      <c r="Z123" s="309"/>
      <c r="AA123" s="63"/>
      <c r="AB123" s="63"/>
      <c r="AC123" s="63"/>
      <c r="AD123" s="63"/>
      <c r="AE123" s="63"/>
      <c r="AF123" s="8"/>
      <c r="AG123" s="142"/>
      <c r="AH123" s="142"/>
      <c r="AI123" s="142"/>
      <c r="AJ123" s="142"/>
      <c r="AK123" s="203">
        <v>11</v>
      </c>
    </row>
    <row r="124" spans="1:37" s="203" customFormat="1" ht="11.45" customHeight="1">
      <c r="A124" s="572"/>
      <c r="B124" s="572"/>
      <c r="C124" s="572"/>
      <c r="D124" s="572"/>
      <c r="E124" s="572"/>
      <c r="F124" s="68"/>
      <c r="G124" s="68"/>
      <c r="N124" s="63"/>
      <c r="P124" s="63"/>
      <c r="Q124" s="68"/>
      <c r="R124" s="68"/>
      <c r="S124" s="63"/>
      <c r="T124" s="63"/>
      <c r="U124" s="63"/>
      <c r="V124" s="63"/>
      <c r="W124" s="68"/>
      <c r="X124" s="63"/>
      <c r="Y124" s="63"/>
      <c r="Z124" s="309"/>
      <c r="AA124" s="63"/>
      <c r="AB124" s="63"/>
      <c r="AC124" s="63"/>
      <c r="AD124" s="63"/>
      <c r="AE124" s="63"/>
      <c r="AF124" s="8"/>
      <c r="AG124" s="142"/>
      <c r="AH124" s="142"/>
      <c r="AI124" s="142"/>
      <c r="AJ124" s="142"/>
      <c r="AK124" s="203">
        <v>11</v>
      </c>
    </row>
    <row r="125" spans="1:37" s="203" customFormat="1" ht="11.45" customHeight="1">
      <c r="A125" s="572"/>
      <c r="B125" s="572"/>
      <c r="C125" s="572"/>
      <c r="D125" s="572"/>
      <c r="E125" s="572"/>
      <c r="F125" s="68"/>
      <c r="G125" s="68"/>
      <c r="N125" s="63"/>
      <c r="P125" s="63"/>
      <c r="Q125" s="68"/>
      <c r="R125" s="68"/>
      <c r="S125" s="63"/>
      <c r="T125" s="63"/>
      <c r="U125" s="63"/>
      <c r="V125" s="63"/>
      <c r="W125" s="68"/>
      <c r="X125" s="63"/>
      <c r="Y125" s="63"/>
      <c r="Z125" s="309"/>
      <c r="AA125" s="63"/>
      <c r="AB125" s="63"/>
      <c r="AC125" s="63"/>
      <c r="AD125" s="63"/>
      <c r="AE125" s="63"/>
      <c r="AF125" s="8"/>
      <c r="AG125" s="142"/>
      <c r="AH125" s="142"/>
      <c r="AI125" s="142"/>
      <c r="AJ125" s="142"/>
      <c r="AK125" s="203">
        <v>11</v>
      </c>
    </row>
    <row r="126" spans="1:37" s="203" customFormat="1" ht="11.45" customHeight="1">
      <c r="A126" s="572"/>
      <c r="B126" s="572"/>
      <c r="C126" s="572"/>
      <c r="D126" s="572"/>
      <c r="E126" s="572"/>
      <c r="F126" s="68"/>
      <c r="G126" s="68"/>
      <c r="N126" s="63"/>
      <c r="P126" s="63"/>
      <c r="Q126" s="68"/>
      <c r="R126" s="68"/>
      <c r="S126" s="63"/>
      <c r="T126" s="63"/>
      <c r="U126" s="63"/>
      <c r="V126" s="63"/>
      <c r="W126" s="68"/>
      <c r="X126" s="63"/>
      <c r="Y126" s="63"/>
      <c r="Z126" s="309"/>
      <c r="AA126" s="63"/>
      <c r="AB126" s="63"/>
      <c r="AC126" s="63"/>
      <c r="AD126" s="63"/>
      <c r="AE126" s="63"/>
      <c r="AF126" s="8"/>
      <c r="AG126" s="142"/>
      <c r="AH126" s="142"/>
      <c r="AI126" s="142"/>
      <c r="AJ126" s="142"/>
      <c r="AK126" s="203">
        <v>11</v>
      </c>
    </row>
    <row r="127" spans="1:37" s="203" customFormat="1" ht="11.45" customHeight="1">
      <c r="A127" s="572"/>
      <c r="B127" s="572"/>
      <c r="C127" s="572"/>
      <c r="D127" s="572"/>
      <c r="E127" s="572"/>
      <c r="F127" s="68"/>
      <c r="G127" s="68"/>
      <c r="N127" s="63"/>
      <c r="P127" s="63"/>
      <c r="Q127" s="68"/>
      <c r="R127" s="68"/>
      <c r="S127" s="63"/>
      <c r="T127" s="63"/>
      <c r="U127" s="63"/>
      <c r="V127" s="63"/>
      <c r="W127" s="68"/>
      <c r="X127" s="63"/>
      <c r="Y127" s="63"/>
      <c r="Z127" s="309"/>
      <c r="AA127" s="63"/>
      <c r="AB127" s="63"/>
      <c r="AC127" s="63"/>
      <c r="AD127" s="63"/>
      <c r="AE127" s="63"/>
      <c r="AF127" s="8"/>
      <c r="AG127" s="142"/>
      <c r="AH127" s="142"/>
      <c r="AI127" s="142"/>
      <c r="AJ127" s="142"/>
      <c r="AK127" s="203">
        <v>11</v>
      </c>
    </row>
    <row r="128" spans="1:37" s="203" customFormat="1" ht="11.45" customHeight="1">
      <c r="A128" s="572"/>
      <c r="B128" s="572"/>
      <c r="C128" s="572"/>
      <c r="D128" s="572"/>
      <c r="E128" s="572"/>
      <c r="F128" s="68"/>
      <c r="G128" s="68"/>
      <c r="N128" s="63"/>
      <c r="P128" s="63"/>
      <c r="Q128" s="68"/>
      <c r="R128" s="68"/>
      <c r="S128" s="63"/>
      <c r="T128" s="63"/>
      <c r="U128" s="63"/>
      <c r="V128" s="63"/>
      <c r="W128" s="68"/>
      <c r="X128" s="63"/>
      <c r="Y128" s="63"/>
      <c r="Z128" s="309"/>
      <c r="AA128" s="63"/>
      <c r="AB128" s="63"/>
      <c r="AC128" s="63"/>
      <c r="AD128" s="63"/>
      <c r="AE128" s="63"/>
      <c r="AF128" s="8"/>
      <c r="AG128" s="142"/>
      <c r="AH128" s="142"/>
      <c r="AI128" s="142"/>
      <c r="AJ128" s="142"/>
      <c r="AK128" s="203">
        <v>11</v>
      </c>
    </row>
    <row r="129" spans="1:37" s="203" customFormat="1" ht="11.45" customHeight="1">
      <c r="A129" s="572"/>
      <c r="B129" s="572"/>
      <c r="C129" s="572"/>
      <c r="D129" s="572"/>
      <c r="E129" s="572"/>
      <c r="F129" s="68"/>
      <c r="G129" s="68"/>
      <c r="N129" s="63"/>
      <c r="P129" s="63"/>
      <c r="Q129" s="68"/>
      <c r="R129" s="68"/>
      <c r="S129" s="63"/>
      <c r="T129" s="63"/>
      <c r="U129" s="63"/>
      <c r="V129" s="63"/>
      <c r="W129" s="68"/>
      <c r="X129" s="63"/>
      <c r="Y129" s="63"/>
      <c r="Z129" s="309"/>
      <c r="AA129" s="63"/>
      <c r="AB129" s="63"/>
      <c r="AC129" s="63"/>
      <c r="AD129" s="63"/>
      <c r="AE129" s="63"/>
      <c r="AF129" s="8"/>
      <c r="AG129" s="142"/>
      <c r="AH129" s="142"/>
      <c r="AI129" s="142"/>
      <c r="AJ129" s="142"/>
      <c r="AK129" s="203">
        <v>11</v>
      </c>
    </row>
    <row r="130" spans="1:37" s="203" customFormat="1" ht="11.45" customHeight="1">
      <c r="A130" s="572"/>
      <c r="B130" s="572"/>
      <c r="C130" s="572"/>
      <c r="D130" s="572"/>
      <c r="E130" s="572"/>
      <c r="F130" s="68"/>
      <c r="G130" s="68"/>
      <c r="N130" s="63"/>
      <c r="P130" s="63"/>
      <c r="Q130" s="68"/>
      <c r="R130" s="68"/>
      <c r="S130" s="63"/>
      <c r="T130" s="63"/>
      <c r="U130" s="63"/>
      <c r="V130" s="63"/>
      <c r="W130" s="68"/>
      <c r="X130" s="63"/>
      <c r="Y130" s="63"/>
      <c r="Z130" s="309"/>
      <c r="AA130" s="63"/>
      <c r="AB130" s="63"/>
      <c r="AC130" s="63"/>
      <c r="AD130" s="63"/>
      <c r="AE130" s="63"/>
      <c r="AF130" s="8"/>
      <c r="AG130" s="142"/>
      <c r="AH130" s="142"/>
      <c r="AI130" s="142"/>
      <c r="AJ130" s="142"/>
      <c r="AK130" s="203">
        <v>11</v>
      </c>
    </row>
    <row r="131" spans="1:37" s="203" customFormat="1" ht="11.45" customHeight="1">
      <c r="A131" s="572"/>
      <c r="B131" s="572"/>
      <c r="C131" s="572"/>
      <c r="D131" s="572"/>
      <c r="E131" s="572"/>
      <c r="F131" s="68"/>
      <c r="G131" s="68"/>
      <c r="N131" s="63"/>
      <c r="P131" s="63"/>
      <c r="Q131" s="68"/>
      <c r="R131" s="68"/>
      <c r="S131" s="63"/>
      <c r="T131" s="63"/>
      <c r="U131" s="63"/>
      <c r="V131" s="63"/>
      <c r="W131" s="68"/>
      <c r="X131" s="63"/>
      <c r="Y131" s="63"/>
      <c r="Z131" s="309"/>
      <c r="AA131" s="63"/>
      <c r="AB131" s="63"/>
      <c r="AC131" s="63"/>
      <c r="AD131" s="63"/>
      <c r="AE131" s="63"/>
      <c r="AF131" s="8"/>
      <c r="AG131" s="142"/>
      <c r="AH131" s="142"/>
      <c r="AI131" s="142"/>
      <c r="AJ131" s="142"/>
      <c r="AK131" s="203">
        <v>11</v>
      </c>
    </row>
    <row r="132" spans="1:37" s="203" customFormat="1" ht="11.45" customHeight="1">
      <c r="A132" s="572"/>
      <c r="B132" s="572"/>
      <c r="C132" s="572"/>
      <c r="D132" s="572"/>
      <c r="E132" s="572"/>
      <c r="F132" s="68"/>
      <c r="G132" s="68"/>
      <c r="N132" s="63"/>
      <c r="P132" s="63"/>
      <c r="Q132" s="68"/>
      <c r="R132" s="68"/>
      <c r="S132" s="63"/>
      <c r="T132" s="63"/>
      <c r="U132" s="63"/>
      <c r="V132" s="63"/>
      <c r="W132" s="68"/>
      <c r="X132" s="63"/>
      <c r="Y132" s="63"/>
      <c r="Z132" s="309"/>
      <c r="AA132" s="63"/>
      <c r="AB132" s="63"/>
      <c r="AC132" s="63"/>
      <c r="AD132" s="63"/>
      <c r="AE132" s="63"/>
      <c r="AF132" s="8"/>
      <c r="AG132" s="142"/>
      <c r="AH132" s="142"/>
      <c r="AI132" s="142"/>
      <c r="AJ132" s="142"/>
      <c r="AK132" s="203">
        <v>11</v>
      </c>
    </row>
    <row r="133" spans="1:37" s="203" customFormat="1" ht="11.45" customHeight="1">
      <c r="A133" s="572"/>
      <c r="B133" s="572"/>
      <c r="C133" s="572"/>
      <c r="D133" s="572"/>
      <c r="E133" s="572"/>
      <c r="F133" s="68"/>
      <c r="G133" s="68"/>
      <c r="N133" s="63"/>
      <c r="P133" s="63"/>
      <c r="Q133" s="68"/>
      <c r="R133" s="68"/>
      <c r="S133" s="63"/>
      <c r="T133" s="63"/>
      <c r="U133" s="63"/>
      <c r="V133" s="63"/>
      <c r="W133" s="68"/>
      <c r="X133" s="63"/>
      <c r="Y133" s="63"/>
      <c r="Z133" s="309"/>
      <c r="AA133" s="63"/>
      <c r="AB133" s="63"/>
      <c r="AC133" s="63"/>
      <c r="AD133" s="63"/>
      <c r="AE133" s="63"/>
      <c r="AF133" s="8"/>
      <c r="AG133" s="142"/>
      <c r="AH133" s="142"/>
      <c r="AI133" s="142"/>
      <c r="AJ133" s="142"/>
      <c r="AK133" s="203">
        <v>11</v>
      </c>
    </row>
    <row r="134" spans="1:37" s="203" customFormat="1" ht="11.45" customHeight="1">
      <c r="A134" s="572"/>
      <c r="B134" s="572"/>
      <c r="C134" s="572"/>
      <c r="D134" s="572"/>
      <c r="E134" s="572"/>
      <c r="F134" s="68"/>
      <c r="G134" s="68"/>
      <c r="N134" s="63"/>
      <c r="P134" s="63"/>
      <c r="Q134" s="68"/>
      <c r="R134" s="68"/>
      <c r="S134" s="63"/>
      <c r="T134" s="63"/>
      <c r="U134" s="63"/>
      <c r="V134" s="63"/>
      <c r="W134" s="68"/>
      <c r="X134" s="63"/>
      <c r="Y134" s="63"/>
      <c r="Z134" s="309"/>
      <c r="AA134" s="63"/>
      <c r="AB134" s="63"/>
      <c r="AC134" s="63"/>
      <c r="AD134" s="63"/>
      <c r="AE134" s="63"/>
      <c r="AF134" s="8"/>
      <c r="AG134" s="142"/>
      <c r="AH134" s="142"/>
      <c r="AI134" s="142"/>
      <c r="AJ134" s="142"/>
      <c r="AK134" s="203">
        <v>11</v>
      </c>
    </row>
    <row r="135" spans="1:37" s="203" customFormat="1" ht="11.45" customHeight="1">
      <c r="A135" s="572"/>
      <c r="B135" s="572"/>
      <c r="C135" s="572"/>
      <c r="D135" s="572"/>
      <c r="E135" s="572"/>
      <c r="F135" s="68"/>
      <c r="G135" s="68"/>
      <c r="N135" s="63"/>
      <c r="P135" s="63"/>
      <c r="Q135" s="68"/>
      <c r="R135" s="68"/>
      <c r="S135" s="63"/>
      <c r="T135" s="63"/>
      <c r="U135" s="63"/>
      <c r="V135" s="63"/>
      <c r="W135" s="68"/>
      <c r="X135" s="63"/>
      <c r="Y135" s="63"/>
      <c r="Z135" s="309"/>
      <c r="AA135" s="63"/>
      <c r="AB135" s="63"/>
      <c r="AC135" s="63"/>
      <c r="AD135" s="63"/>
      <c r="AE135" s="63"/>
      <c r="AF135" s="8"/>
      <c r="AG135" s="142"/>
      <c r="AH135" s="142"/>
      <c r="AI135" s="142"/>
      <c r="AJ135" s="142"/>
      <c r="AK135" s="203">
        <v>11</v>
      </c>
    </row>
    <row r="136" spans="1:37" s="203" customFormat="1" ht="11.45" customHeight="1">
      <c r="A136" s="572"/>
      <c r="B136" s="572"/>
      <c r="C136" s="572"/>
      <c r="D136" s="572"/>
      <c r="E136" s="572"/>
      <c r="F136" s="68"/>
      <c r="G136" s="68"/>
      <c r="N136" s="63"/>
      <c r="P136" s="63"/>
      <c r="Q136" s="68"/>
      <c r="R136" s="68"/>
      <c r="S136" s="63"/>
      <c r="T136" s="63"/>
      <c r="U136" s="63"/>
      <c r="V136" s="63"/>
      <c r="W136" s="68"/>
      <c r="X136" s="63"/>
      <c r="Y136" s="63"/>
      <c r="Z136" s="309"/>
      <c r="AA136" s="63"/>
      <c r="AB136" s="63"/>
      <c r="AC136" s="63"/>
      <c r="AD136" s="63"/>
      <c r="AE136" s="63"/>
      <c r="AF136" s="8"/>
      <c r="AG136" s="142"/>
      <c r="AH136" s="142"/>
      <c r="AI136" s="142"/>
      <c r="AJ136" s="142"/>
      <c r="AK136" s="203">
        <v>11</v>
      </c>
    </row>
    <row r="137" spans="1:37" s="203" customFormat="1" ht="11.45" customHeight="1">
      <c r="A137" s="572"/>
      <c r="B137" s="572"/>
      <c r="C137" s="572"/>
      <c r="D137" s="572"/>
      <c r="E137" s="572"/>
      <c r="F137" s="68"/>
      <c r="G137" s="68"/>
      <c r="N137" s="63"/>
      <c r="P137" s="63"/>
      <c r="Q137" s="68"/>
      <c r="R137" s="68"/>
      <c r="S137" s="63"/>
      <c r="T137" s="63"/>
      <c r="U137" s="63"/>
      <c r="V137" s="63"/>
      <c r="W137" s="68"/>
      <c r="X137" s="63"/>
      <c r="Y137" s="63"/>
      <c r="Z137" s="309"/>
      <c r="AA137" s="63"/>
      <c r="AB137" s="63"/>
      <c r="AC137" s="63"/>
      <c r="AD137" s="63"/>
      <c r="AE137" s="63"/>
      <c r="AF137" s="8"/>
      <c r="AG137" s="142"/>
      <c r="AH137" s="142"/>
      <c r="AI137" s="142"/>
      <c r="AJ137" s="142"/>
      <c r="AK137" s="203">
        <v>11</v>
      </c>
    </row>
    <row r="138" spans="1:37" s="203" customFormat="1" ht="11.45" customHeight="1">
      <c r="A138" s="572"/>
      <c r="B138" s="572"/>
      <c r="C138" s="572"/>
      <c r="D138" s="572"/>
      <c r="E138" s="572"/>
      <c r="F138" s="68"/>
      <c r="G138" s="68"/>
      <c r="N138" s="63"/>
      <c r="P138" s="63"/>
      <c r="Q138" s="68"/>
      <c r="R138" s="68"/>
      <c r="S138" s="63"/>
      <c r="T138" s="63"/>
      <c r="U138" s="63"/>
      <c r="V138" s="63"/>
      <c r="W138" s="68"/>
      <c r="X138" s="63"/>
      <c r="Y138" s="63"/>
      <c r="Z138" s="309"/>
      <c r="AA138" s="63"/>
      <c r="AB138" s="63"/>
      <c r="AC138" s="63"/>
      <c r="AD138" s="63"/>
      <c r="AE138" s="63"/>
      <c r="AF138" s="8"/>
      <c r="AG138" s="142"/>
      <c r="AH138" s="142"/>
      <c r="AI138" s="142"/>
      <c r="AJ138" s="142"/>
      <c r="AK138" s="203">
        <v>11</v>
      </c>
    </row>
    <row r="139" spans="1:37" s="203" customFormat="1" ht="11.45" customHeight="1">
      <c r="A139" s="572"/>
      <c r="B139" s="572"/>
      <c r="C139" s="572"/>
      <c r="D139" s="572"/>
      <c r="E139" s="572"/>
      <c r="F139" s="68"/>
      <c r="G139" s="68"/>
      <c r="N139" s="63"/>
      <c r="P139" s="63"/>
      <c r="Q139" s="68"/>
      <c r="R139" s="68"/>
      <c r="S139" s="63"/>
      <c r="T139" s="63"/>
      <c r="U139" s="63"/>
      <c r="V139" s="63"/>
      <c r="W139" s="68"/>
      <c r="X139" s="63"/>
      <c r="Y139" s="63"/>
      <c r="Z139" s="309"/>
      <c r="AA139" s="63"/>
      <c r="AB139" s="63"/>
      <c r="AC139" s="63"/>
      <c r="AD139" s="63"/>
      <c r="AE139" s="63"/>
      <c r="AF139" s="8"/>
      <c r="AG139" s="142"/>
      <c r="AH139" s="142"/>
      <c r="AI139" s="142"/>
      <c r="AJ139" s="142"/>
      <c r="AK139" s="203">
        <v>11</v>
      </c>
    </row>
    <row r="140" spans="1:37" s="203" customFormat="1" ht="11.45" customHeight="1">
      <c r="A140" s="572"/>
      <c r="B140" s="572"/>
      <c r="C140" s="572"/>
      <c r="D140" s="572"/>
      <c r="E140" s="572"/>
      <c r="F140" s="68"/>
      <c r="G140" s="68"/>
      <c r="N140" s="63"/>
      <c r="P140" s="63"/>
      <c r="Q140" s="68"/>
      <c r="R140" s="68"/>
      <c r="S140" s="63"/>
      <c r="T140" s="63"/>
      <c r="U140" s="63"/>
      <c r="V140" s="63"/>
      <c r="W140" s="68"/>
      <c r="X140" s="63"/>
      <c r="Y140" s="63"/>
      <c r="Z140" s="309"/>
      <c r="AA140" s="63"/>
      <c r="AB140" s="63"/>
      <c r="AC140" s="63"/>
      <c r="AD140" s="63"/>
      <c r="AE140" s="63"/>
      <c r="AF140" s="8"/>
      <c r="AG140" s="142"/>
      <c r="AH140" s="142"/>
      <c r="AI140" s="142"/>
      <c r="AJ140" s="142"/>
      <c r="AK140" s="203">
        <v>11</v>
      </c>
    </row>
    <row r="141" spans="1:37" s="203" customFormat="1" ht="11.45" customHeight="1">
      <c r="A141" s="572"/>
      <c r="B141" s="572"/>
      <c r="C141" s="572"/>
      <c r="D141" s="572"/>
      <c r="E141" s="572"/>
      <c r="F141" s="68"/>
      <c r="G141" s="68"/>
      <c r="N141" s="63"/>
      <c r="P141" s="63"/>
      <c r="Q141" s="68"/>
      <c r="R141" s="68"/>
      <c r="S141" s="63"/>
      <c r="T141" s="63"/>
      <c r="U141" s="63"/>
      <c r="V141" s="63"/>
      <c r="W141" s="68"/>
      <c r="X141" s="63"/>
      <c r="Y141" s="63"/>
      <c r="Z141" s="309"/>
      <c r="AA141" s="63"/>
      <c r="AB141" s="63"/>
      <c r="AC141" s="63"/>
      <c r="AD141" s="63"/>
      <c r="AE141" s="63"/>
      <c r="AF141" s="8"/>
      <c r="AG141" s="142"/>
      <c r="AH141" s="142"/>
      <c r="AI141" s="142"/>
      <c r="AJ141" s="142"/>
      <c r="AK141" s="203">
        <v>11</v>
      </c>
    </row>
    <row r="142" spans="1:37" s="203" customFormat="1" ht="11.45" customHeight="1">
      <c r="A142" s="572"/>
      <c r="B142" s="572"/>
      <c r="C142" s="572"/>
      <c r="D142" s="572"/>
      <c r="E142" s="572"/>
      <c r="F142" s="68"/>
      <c r="G142" s="68"/>
      <c r="N142" s="63"/>
      <c r="P142" s="63"/>
      <c r="Q142" s="68"/>
      <c r="R142" s="68"/>
      <c r="S142" s="63"/>
      <c r="T142" s="63"/>
      <c r="U142" s="63"/>
      <c r="V142" s="63"/>
      <c r="W142" s="68"/>
      <c r="X142" s="63"/>
      <c r="Y142" s="63"/>
      <c r="Z142" s="309"/>
      <c r="AA142" s="63"/>
      <c r="AB142" s="63"/>
      <c r="AC142" s="63"/>
      <c r="AD142" s="63"/>
      <c r="AE142" s="63"/>
      <c r="AF142" s="8"/>
      <c r="AG142" s="142"/>
      <c r="AH142" s="142"/>
      <c r="AI142" s="142"/>
      <c r="AJ142" s="142"/>
      <c r="AK142" s="203">
        <v>11</v>
      </c>
    </row>
    <row r="143" spans="1:37" s="203" customFormat="1" ht="11.45" customHeight="1">
      <c r="A143" s="572"/>
      <c r="B143" s="572"/>
      <c r="C143" s="572"/>
      <c r="D143" s="572"/>
      <c r="E143" s="572"/>
      <c r="F143" s="68"/>
      <c r="G143" s="68"/>
      <c r="N143" s="63"/>
      <c r="P143" s="63"/>
      <c r="Q143" s="68"/>
      <c r="R143" s="68"/>
      <c r="S143" s="63"/>
      <c r="T143" s="63"/>
      <c r="U143" s="63"/>
      <c r="V143" s="63"/>
      <c r="W143" s="68"/>
      <c r="X143" s="63"/>
      <c r="Y143" s="63"/>
      <c r="Z143" s="309"/>
      <c r="AA143" s="63"/>
      <c r="AB143" s="63"/>
      <c r="AC143" s="63"/>
      <c r="AD143" s="63"/>
      <c r="AE143" s="63"/>
      <c r="AF143" s="8"/>
      <c r="AG143" s="142"/>
      <c r="AH143" s="142"/>
      <c r="AI143" s="142"/>
      <c r="AJ143" s="142"/>
      <c r="AK143" s="203">
        <v>11</v>
      </c>
    </row>
    <row r="144" spans="1:37" s="203" customFormat="1" ht="11.45" customHeight="1">
      <c r="A144" s="572"/>
      <c r="B144" s="572"/>
      <c r="C144" s="572"/>
      <c r="D144" s="572"/>
      <c r="E144" s="572"/>
      <c r="F144" s="68"/>
      <c r="G144" s="68"/>
      <c r="N144" s="63"/>
      <c r="P144" s="63"/>
      <c r="Q144" s="68"/>
      <c r="R144" s="68"/>
      <c r="S144" s="63"/>
      <c r="T144" s="63"/>
      <c r="U144" s="63"/>
      <c r="V144" s="63"/>
      <c r="W144" s="68"/>
      <c r="X144" s="63"/>
      <c r="Y144" s="63"/>
      <c r="Z144" s="309"/>
      <c r="AA144" s="63"/>
      <c r="AB144" s="63"/>
      <c r="AC144" s="63"/>
      <c r="AD144" s="63"/>
      <c r="AE144" s="63"/>
      <c r="AF144" s="8"/>
      <c r="AG144" s="142"/>
      <c r="AH144" s="142"/>
      <c r="AI144" s="142"/>
      <c r="AJ144" s="142"/>
      <c r="AK144" s="203">
        <v>11</v>
      </c>
    </row>
    <row r="145" spans="1:37" s="203" customFormat="1" ht="11.45" customHeight="1">
      <c r="A145" s="572"/>
      <c r="B145" s="572"/>
      <c r="C145" s="572"/>
      <c r="D145" s="572"/>
      <c r="E145" s="572"/>
      <c r="F145" s="68"/>
      <c r="G145" s="68"/>
      <c r="N145" s="63"/>
      <c r="P145" s="63"/>
      <c r="Q145" s="68"/>
      <c r="R145" s="68"/>
      <c r="S145" s="63"/>
      <c r="T145" s="63"/>
      <c r="U145" s="63"/>
      <c r="V145" s="63"/>
      <c r="W145" s="68"/>
      <c r="X145" s="63"/>
      <c r="Y145" s="63"/>
      <c r="Z145" s="309"/>
      <c r="AA145" s="63"/>
      <c r="AB145" s="63"/>
      <c r="AC145" s="63"/>
      <c r="AD145" s="63"/>
      <c r="AE145" s="63"/>
      <c r="AF145" s="8"/>
      <c r="AG145" s="142"/>
      <c r="AH145" s="142"/>
      <c r="AI145" s="142"/>
      <c r="AJ145" s="142"/>
      <c r="AK145" s="203">
        <v>11</v>
      </c>
    </row>
    <row r="146" spans="1:37" s="203" customFormat="1" ht="11.45" customHeight="1">
      <c r="A146" s="572"/>
      <c r="B146" s="572"/>
      <c r="C146" s="572"/>
      <c r="D146" s="572"/>
      <c r="E146" s="572"/>
      <c r="F146" s="68"/>
      <c r="G146" s="68"/>
      <c r="N146" s="63"/>
      <c r="P146" s="63"/>
      <c r="Q146" s="68"/>
      <c r="R146" s="68"/>
      <c r="S146" s="63"/>
      <c r="T146" s="63"/>
      <c r="U146" s="63"/>
      <c r="V146" s="63"/>
      <c r="W146" s="68"/>
      <c r="X146" s="63"/>
      <c r="Y146" s="63"/>
      <c r="Z146" s="309"/>
      <c r="AA146" s="63"/>
      <c r="AB146" s="63"/>
      <c r="AC146" s="63"/>
      <c r="AD146" s="63"/>
      <c r="AE146" s="63"/>
      <c r="AF146" s="8"/>
      <c r="AG146" s="142"/>
      <c r="AH146" s="142"/>
      <c r="AI146" s="142"/>
      <c r="AJ146" s="142"/>
      <c r="AK146" s="203">
        <v>11</v>
      </c>
    </row>
    <row r="147" spans="1:37" s="203" customFormat="1" ht="11.45" customHeight="1">
      <c r="A147" s="572"/>
      <c r="B147" s="572"/>
      <c r="C147" s="572"/>
      <c r="D147" s="572"/>
      <c r="E147" s="572"/>
      <c r="F147" s="68"/>
      <c r="G147" s="68"/>
      <c r="N147" s="63"/>
      <c r="P147" s="63"/>
      <c r="Q147" s="68"/>
      <c r="R147" s="68"/>
      <c r="S147" s="63"/>
      <c r="T147" s="63"/>
      <c r="U147" s="63"/>
      <c r="V147" s="63"/>
      <c r="W147" s="68"/>
      <c r="X147" s="63"/>
      <c r="Y147" s="63"/>
      <c r="Z147" s="309"/>
      <c r="AA147" s="63"/>
      <c r="AB147" s="63"/>
      <c r="AC147" s="63"/>
      <c r="AD147" s="63"/>
      <c r="AE147" s="63"/>
      <c r="AF147" s="8"/>
      <c r="AG147" s="142"/>
      <c r="AH147" s="142"/>
      <c r="AI147" s="142"/>
      <c r="AJ147" s="142"/>
      <c r="AK147" s="203">
        <v>11</v>
      </c>
    </row>
    <row r="148" spans="1:37" s="203" customFormat="1" ht="11.45" customHeight="1">
      <c r="A148" s="572"/>
      <c r="B148" s="572"/>
      <c r="C148" s="572"/>
      <c r="D148" s="572"/>
      <c r="E148" s="572"/>
      <c r="F148" s="68"/>
      <c r="G148" s="68"/>
      <c r="N148" s="63"/>
      <c r="P148" s="63"/>
      <c r="Q148" s="68"/>
      <c r="R148" s="68"/>
      <c r="S148" s="63"/>
      <c r="T148" s="63"/>
      <c r="U148" s="63"/>
      <c r="V148" s="63"/>
      <c r="W148" s="68"/>
      <c r="X148" s="63"/>
      <c r="Y148" s="63"/>
      <c r="Z148" s="309"/>
      <c r="AA148" s="63"/>
      <c r="AB148" s="63"/>
      <c r="AC148" s="63"/>
      <c r="AD148" s="63"/>
      <c r="AE148" s="63"/>
      <c r="AF148" s="8"/>
      <c r="AG148" s="142"/>
      <c r="AH148" s="142"/>
      <c r="AI148" s="142"/>
      <c r="AJ148" s="142"/>
      <c r="AK148" s="203">
        <v>11</v>
      </c>
    </row>
    <row r="149" spans="1:37" s="203" customFormat="1" ht="11.45" customHeight="1">
      <c r="A149" s="572"/>
      <c r="B149" s="572"/>
      <c r="C149" s="572"/>
      <c r="D149" s="572"/>
      <c r="E149" s="572"/>
      <c r="F149" s="68"/>
      <c r="G149" s="68"/>
      <c r="N149" s="63"/>
      <c r="P149" s="63"/>
      <c r="Q149" s="68"/>
      <c r="R149" s="68"/>
      <c r="S149" s="63"/>
      <c r="T149" s="63"/>
      <c r="U149" s="63"/>
      <c r="V149" s="63"/>
      <c r="W149" s="68"/>
      <c r="X149" s="63"/>
      <c r="Y149" s="63"/>
      <c r="Z149" s="309"/>
      <c r="AA149" s="63"/>
      <c r="AB149" s="63"/>
      <c r="AC149" s="63"/>
      <c r="AD149" s="63"/>
      <c r="AE149" s="63"/>
      <c r="AF149" s="8"/>
      <c r="AG149" s="142"/>
      <c r="AH149" s="142"/>
      <c r="AI149" s="142"/>
      <c r="AJ149" s="142"/>
      <c r="AK149" s="203">
        <v>11</v>
      </c>
    </row>
    <row r="150" spans="1:37" s="203" customFormat="1" ht="11.45" customHeight="1">
      <c r="A150" s="572"/>
      <c r="B150" s="572"/>
      <c r="C150" s="572"/>
      <c r="D150" s="572"/>
      <c r="E150" s="572"/>
      <c r="F150" s="68"/>
      <c r="G150" s="68"/>
      <c r="N150" s="63"/>
      <c r="P150" s="63"/>
      <c r="Q150" s="68"/>
      <c r="R150" s="68"/>
      <c r="S150" s="63"/>
      <c r="T150" s="63"/>
      <c r="U150" s="63"/>
      <c r="V150" s="63"/>
      <c r="W150" s="68"/>
      <c r="X150" s="63"/>
      <c r="Y150" s="63"/>
      <c r="Z150" s="309"/>
      <c r="AA150" s="63"/>
      <c r="AB150" s="63"/>
      <c r="AC150" s="63"/>
      <c r="AD150" s="63"/>
      <c r="AE150" s="63"/>
      <c r="AF150" s="8"/>
      <c r="AG150" s="142"/>
      <c r="AH150" s="142"/>
      <c r="AI150" s="142"/>
      <c r="AJ150" s="142"/>
      <c r="AK150" s="203">
        <v>11</v>
      </c>
    </row>
    <row r="151" spans="1:37" s="203" customFormat="1" ht="11.45" customHeight="1">
      <c r="A151" s="572"/>
      <c r="B151" s="572"/>
      <c r="C151" s="572"/>
      <c r="D151" s="572"/>
      <c r="E151" s="572"/>
      <c r="F151" s="68"/>
      <c r="G151" s="68"/>
      <c r="N151" s="63"/>
      <c r="P151" s="63"/>
      <c r="Q151" s="68"/>
      <c r="R151" s="68"/>
      <c r="S151" s="63"/>
      <c r="T151" s="63"/>
      <c r="U151" s="63"/>
      <c r="V151" s="63"/>
      <c r="W151" s="68"/>
      <c r="X151" s="63"/>
      <c r="Y151" s="63"/>
      <c r="Z151" s="309"/>
      <c r="AA151" s="63"/>
      <c r="AB151" s="63"/>
      <c r="AC151" s="63"/>
      <c r="AD151" s="63"/>
      <c r="AE151" s="63"/>
      <c r="AF151" s="8"/>
      <c r="AG151" s="142"/>
      <c r="AH151" s="142"/>
      <c r="AI151" s="142"/>
      <c r="AJ151" s="142"/>
      <c r="AK151" s="203">
        <v>11</v>
      </c>
    </row>
    <row r="152" spans="1:37" s="203" customFormat="1" ht="11.45" customHeight="1">
      <c r="A152" s="572"/>
      <c r="B152" s="572"/>
      <c r="C152" s="572"/>
      <c r="D152" s="572"/>
      <c r="E152" s="572"/>
      <c r="F152" s="68"/>
      <c r="G152" s="68"/>
      <c r="N152" s="63"/>
      <c r="P152" s="63"/>
      <c r="Q152" s="68"/>
      <c r="R152" s="68"/>
      <c r="S152" s="63"/>
      <c r="T152" s="63"/>
      <c r="U152" s="63"/>
      <c r="V152" s="63"/>
      <c r="W152" s="68"/>
      <c r="X152" s="63"/>
      <c r="Y152" s="63"/>
      <c r="Z152" s="309"/>
      <c r="AA152" s="63"/>
      <c r="AB152" s="63"/>
      <c r="AC152" s="63"/>
      <c r="AD152" s="63"/>
      <c r="AE152" s="63"/>
      <c r="AF152" s="8"/>
      <c r="AG152" s="142"/>
      <c r="AH152" s="142"/>
      <c r="AI152" s="142"/>
      <c r="AJ152" s="142"/>
      <c r="AK152" s="203">
        <v>11</v>
      </c>
    </row>
    <row r="153" spans="1:37" s="203" customFormat="1" ht="11.45" customHeight="1">
      <c r="A153" s="572"/>
      <c r="B153" s="572"/>
      <c r="C153" s="572"/>
      <c r="D153" s="572"/>
      <c r="E153" s="572"/>
      <c r="F153" s="68"/>
      <c r="G153" s="68"/>
      <c r="N153" s="63"/>
      <c r="P153" s="63"/>
      <c r="Q153" s="68"/>
      <c r="R153" s="68"/>
      <c r="S153" s="63"/>
      <c r="T153" s="63"/>
      <c r="U153" s="63"/>
      <c r="V153" s="63"/>
      <c r="W153" s="68"/>
      <c r="X153" s="63"/>
      <c r="Y153" s="63"/>
      <c r="Z153" s="309"/>
      <c r="AA153" s="63"/>
      <c r="AB153" s="63"/>
      <c r="AC153" s="63"/>
      <c r="AD153" s="63"/>
      <c r="AE153" s="63"/>
      <c r="AF153" s="8"/>
      <c r="AG153" s="142"/>
      <c r="AH153" s="142"/>
      <c r="AI153" s="142"/>
      <c r="AJ153" s="142"/>
      <c r="AK153" s="203">
        <v>11</v>
      </c>
    </row>
    <row r="154" spans="1:37" s="203" customFormat="1" ht="11.45" customHeight="1">
      <c r="A154" s="572"/>
      <c r="B154" s="572"/>
      <c r="C154" s="572"/>
      <c r="D154" s="572"/>
      <c r="E154" s="572"/>
      <c r="F154" s="68"/>
      <c r="G154" s="68"/>
      <c r="N154" s="63"/>
      <c r="P154" s="63"/>
      <c r="Q154" s="68"/>
      <c r="R154" s="68"/>
      <c r="S154" s="63"/>
      <c r="T154" s="63"/>
      <c r="U154" s="63"/>
      <c r="V154" s="63"/>
      <c r="W154" s="68"/>
      <c r="X154" s="63"/>
      <c r="Y154" s="63"/>
      <c r="Z154" s="309"/>
      <c r="AA154" s="63"/>
      <c r="AB154" s="63"/>
      <c r="AC154" s="63"/>
      <c r="AD154" s="63"/>
      <c r="AE154" s="63"/>
      <c r="AF154" s="8"/>
      <c r="AG154" s="142"/>
      <c r="AH154" s="142"/>
      <c r="AI154" s="142"/>
      <c r="AJ154" s="142"/>
      <c r="AK154" s="203">
        <v>11</v>
      </c>
    </row>
    <row r="155" spans="1:37" s="203" customFormat="1" ht="11.45" customHeight="1">
      <c r="A155" s="572"/>
      <c r="B155" s="572"/>
      <c r="C155" s="572"/>
      <c r="D155" s="572"/>
      <c r="E155" s="572"/>
      <c r="F155" s="68"/>
      <c r="G155" s="68"/>
      <c r="N155" s="63"/>
      <c r="P155" s="63"/>
      <c r="Q155" s="68"/>
      <c r="R155" s="68"/>
      <c r="S155" s="63"/>
      <c r="T155" s="63"/>
      <c r="U155" s="63"/>
      <c r="V155" s="63"/>
      <c r="W155" s="68"/>
      <c r="X155" s="63"/>
      <c r="Y155" s="63"/>
      <c r="Z155" s="309"/>
      <c r="AA155" s="63"/>
      <c r="AB155" s="63"/>
      <c r="AC155" s="63"/>
      <c r="AD155" s="63"/>
      <c r="AE155" s="63"/>
      <c r="AF155" s="8"/>
      <c r="AG155" s="142"/>
      <c r="AH155" s="142"/>
      <c r="AI155" s="142"/>
      <c r="AJ155" s="142"/>
      <c r="AK155" s="203">
        <v>11</v>
      </c>
    </row>
    <row r="156" spans="1:37" s="203" customFormat="1" ht="11.45" customHeight="1">
      <c r="A156" s="572"/>
      <c r="B156" s="572"/>
      <c r="C156" s="572"/>
      <c r="D156" s="572"/>
      <c r="E156" s="572"/>
      <c r="F156" s="68"/>
      <c r="G156" s="68"/>
      <c r="N156" s="63"/>
      <c r="P156" s="63"/>
      <c r="Q156" s="68"/>
      <c r="R156" s="68"/>
      <c r="S156" s="63"/>
      <c r="T156" s="63"/>
      <c r="U156" s="63"/>
      <c r="V156" s="63"/>
      <c r="W156" s="68"/>
      <c r="X156" s="63"/>
      <c r="Y156" s="63"/>
      <c r="Z156" s="309"/>
      <c r="AA156" s="63"/>
      <c r="AB156" s="63"/>
      <c r="AC156" s="63"/>
      <c r="AD156" s="63"/>
      <c r="AE156" s="63"/>
      <c r="AF156" s="8"/>
      <c r="AG156" s="142"/>
      <c r="AH156" s="142"/>
      <c r="AI156" s="142"/>
      <c r="AJ156" s="142"/>
      <c r="AK156" s="203">
        <v>11</v>
      </c>
    </row>
    <row r="157" spans="1:37" s="203" customFormat="1" ht="11.45" customHeight="1">
      <c r="A157" s="572"/>
      <c r="B157" s="572"/>
      <c r="C157" s="572"/>
      <c r="D157" s="572"/>
      <c r="E157" s="572"/>
      <c r="F157" s="68"/>
      <c r="G157" s="68"/>
      <c r="N157" s="63"/>
      <c r="P157" s="63"/>
      <c r="Q157" s="68"/>
      <c r="R157" s="68"/>
      <c r="S157" s="63"/>
      <c r="T157" s="63"/>
      <c r="U157" s="63"/>
      <c r="V157" s="63"/>
      <c r="W157" s="68"/>
      <c r="X157" s="63"/>
      <c r="Y157" s="63"/>
      <c r="Z157" s="309"/>
      <c r="AA157" s="63"/>
      <c r="AB157" s="63"/>
      <c r="AC157" s="63"/>
      <c r="AD157" s="63"/>
      <c r="AE157" s="63"/>
      <c r="AF157" s="8"/>
      <c r="AG157" s="142"/>
      <c r="AH157" s="142"/>
      <c r="AI157" s="142"/>
      <c r="AJ157" s="142"/>
      <c r="AK157" s="203">
        <v>11</v>
      </c>
    </row>
    <row r="158" spans="1:37" s="203" customFormat="1" ht="11.45" customHeight="1">
      <c r="A158" s="572"/>
      <c r="B158" s="572"/>
      <c r="C158" s="572"/>
      <c r="D158" s="572"/>
      <c r="E158" s="572"/>
      <c r="F158" s="68"/>
      <c r="G158" s="68"/>
      <c r="N158" s="63"/>
      <c r="P158" s="63"/>
      <c r="Q158" s="68"/>
      <c r="R158" s="68"/>
      <c r="S158" s="63"/>
      <c r="T158" s="63"/>
      <c r="U158" s="63"/>
      <c r="V158" s="63"/>
      <c r="W158" s="68"/>
      <c r="X158" s="63"/>
      <c r="Y158" s="63"/>
      <c r="Z158" s="309"/>
      <c r="AA158" s="63"/>
      <c r="AB158" s="63"/>
      <c r="AC158" s="63"/>
      <c r="AD158" s="63"/>
      <c r="AE158" s="63"/>
      <c r="AF158" s="8"/>
      <c r="AG158" s="142"/>
      <c r="AH158" s="142"/>
      <c r="AI158" s="142"/>
      <c r="AJ158" s="142"/>
      <c r="AK158" s="203">
        <v>11</v>
      </c>
    </row>
    <row r="159" spans="1:37" s="203" customFormat="1" ht="11.45" customHeight="1">
      <c r="A159" s="572"/>
      <c r="B159" s="572"/>
      <c r="C159" s="572"/>
      <c r="D159" s="572"/>
      <c r="E159" s="572"/>
      <c r="F159" s="68"/>
      <c r="G159" s="68"/>
      <c r="N159" s="63"/>
      <c r="P159" s="63"/>
      <c r="Q159" s="68"/>
      <c r="R159" s="68"/>
      <c r="S159" s="63"/>
      <c r="T159" s="63"/>
      <c r="U159" s="63"/>
      <c r="V159" s="63"/>
      <c r="W159" s="68"/>
      <c r="X159" s="63"/>
      <c r="Y159" s="63"/>
      <c r="Z159" s="309"/>
      <c r="AA159" s="63"/>
      <c r="AB159" s="63"/>
      <c r="AC159" s="63"/>
      <c r="AD159" s="63"/>
      <c r="AE159" s="63"/>
      <c r="AF159" s="8"/>
      <c r="AG159" s="142"/>
      <c r="AH159" s="142"/>
      <c r="AI159" s="142"/>
      <c r="AJ159" s="142"/>
      <c r="AK159" s="203">
        <v>11</v>
      </c>
    </row>
    <row r="160" spans="1:37" s="203" customFormat="1" ht="11.45" customHeight="1">
      <c r="A160" s="572"/>
      <c r="B160" s="572"/>
      <c r="C160" s="572"/>
      <c r="D160" s="572"/>
      <c r="E160" s="572"/>
      <c r="F160" s="68"/>
      <c r="G160" s="68"/>
      <c r="N160" s="63"/>
      <c r="P160" s="63"/>
      <c r="Q160" s="68"/>
      <c r="R160" s="68"/>
      <c r="S160" s="63"/>
      <c r="T160" s="63"/>
      <c r="U160" s="63"/>
      <c r="V160" s="63"/>
      <c r="W160" s="68"/>
      <c r="X160" s="63"/>
      <c r="Y160" s="63"/>
      <c r="Z160" s="309"/>
      <c r="AA160" s="63"/>
      <c r="AB160" s="63"/>
      <c r="AC160" s="63"/>
      <c r="AD160" s="63"/>
      <c r="AE160" s="63"/>
      <c r="AF160" s="8"/>
      <c r="AG160" s="142"/>
      <c r="AH160" s="142"/>
      <c r="AI160" s="142"/>
      <c r="AJ160" s="142"/>
      <c r="AK160" s="203">
        <v>11</v>
      </c>
    </row>
    <row r="161" spans="1:37" s="203" customFormat="1" ht="11.45" customHeight="1">
      <c r="A161" s="572"/>
      <c r="B161" s="572"/>
      <c r="C161" s="572"/>
      <c r="D161" s="572"/>
      <c r="E161" s="572"/>
      <c r="F161" s="68"/>
      <c r="G161" s="68"/>
      <c r="N161" s="63"/>
      <c r="P161" s="63"/>
      <c r="Q161" s="68"/>
      <c r="R161" s="68"/>
      <c r="S161" s="63"/>
      <c r="T161" s="63"/>
      <c r="U161" s="63"/>
      <c r="V161" s="63"/>
      <c r="W161" s="68"/>
      <c r="X161" s="63"/>
      <c r="Y161" s="63"/>
      <c r="Z161" s="309"/>
      <c r="AA161" s="63"/>
      <c r="AB161" s="63"/>
      <c r="AC161" s="63"/>
      <c r="AD161" s="63"/>
      <c r="AE161" s="63"/>
      <c r="AF161" s="8"/>
      <c r="AG161" s="142"/>
      <c r="AH161" s="142"/>
      <c r="AI161" s="142"/>
      <c r="AJ161" s="142"/>
      <c r="AK161" s="203">
        <v>11</v>
      </c>
    </row>
    <row r="162" spans="1:37" s="203" customFormat="1" ht="11.45" customHeight="1">
      <c r="A162" s="572"/>
      <c r="B162" s="572"/>
      <c r="C162" s="572"/>
      <c r="D162" s="572"/>
      <c r="E162" s="572"/>
      <c r="F162" s="68"/>
      <c r="G162" s="68"/>
      <c r="N162" s="63"/>
      <c r="P162" s="63"/>
      <c r="Q162" s="68"/>
      <c r="R162" s="68"/>
      <c r="S162" s="63"/>
      <c r="T162" s="63"/>
      <c r="U162" s="63"/>
      <c r="V162" s="63"/>
      <c r="W162" s="68"/>
      <c r="X162" s="63"/>
      <c r="Y162" s="63"/>
      <c r="Z162" s="309"/>
      <c r="AA162" s="63"/>
      <c r="AB162" s="63"/>
      <c r="AC162" s="63"/>
      <c r="AD162" s="63"/>
      <c r="AE162" s="63"/>
      <c r="AF162" s="8"/>
      <c r="AG162" s="142"/>
      <c r="AH162" s="142"/>
      <c r="AI162" s="142"/>
      <c r="AJ162" s="142"/>
      <c r="AK162" s="203">
        <v>11</v>
      </c>
    </row>
    <row r="163" spans="1:37" s="203" customFormat="1" ht="11.45" customHeight="1">
      <c r="A163" s="572"/>
      <c r="B163" s="572"/>
      <c r="C163" s="572"/>
      <c r="D163" s="572"/>
      <c r="E163" s="572"/>
      <c r="F163" s="68"/>
      <c r="G163" s="68"/>
      <c r="N163" s="63"/>
      <c r="P163" s="63"/>
      <c r="Q163" s="68"/>
      <c r="R163" s="68"/>
      <c r="S163" s="63"/>
      <c r="T163" s="63"/>
      <c r="U163" s="63"/>
      <c r="V163" s="63"/>
      <c r="W163" s="68"/>
      <c r="X163" s="63"/>
      <c r="Y163" s="63"/>
      <c r="Z163" s="309"/>
      <c r="AA163" s="63"/>
      <c r="AB163" s="63"/>
      <c r="AC163" s="63"/>
      <c r="AD163" s="63"/>
      <c r="AE163" s="63"/>
      <c r="AF163" s="8"/>
      <c r="AG163" s="142"/>
      <c r="AH163" s="142"/>
      <c r="AI163" s="142"/>
      <c r="AJ163" s="142"/>
      <c r="AK163" s="203">
        <v>11</v>
      </c>
    </row>
    <row r="164" spans="1:37" s="203" customFormat="1" ht="11.45" customHeight="1">
      <c r="A164" s="572"/>
      <c r="B164" s="572"/>
      <c r="C164" s="572"/>
      <c r="D164" s="572"/>
      <c r="E164" s="572"/>
      <c r="F164" s="68"/>
      <c r="G164" s="68"/>
      <c r="N164" s="63"/>
      <c r="P164" s="63"/>
      <c r="Q164" s="68"/>
      <c r="R164" s="68"/>
      <c r="S164" s="63"/>
      <c r="T164" s="63"/>
      <c r="U164" s="63"/>
      <c r="V164" s="63"/>
      <c r="W164" s="68"/>
      <c r="X164" s="63"/>
      <c r="Y164" s="63"/>
      <c r="Z164" s="309"/>
      <c r="AA164" s="63"/>
      <c r="AB164" s="63"/>
      <c r="AC164" s="63"/>
      <c r="AD164" s="63"/>
      <c r="AE164" s="63"/>
      <c r="AF164" s="8"/>
      <c r="AG164" s="142"/>
      <c r="AH164" s="142"/>
      <c r="AI164" s="142"/>
      <c r="AJ164" s="142"/>
      <c r="AK164" s="203">
        <v>11</v>
      </c>
    </row>
    <row r="165" spans="1:37" s="203" customFormat="1" ht="11.45" customHeight="1">
      <c r="A165" s="572"/>
      <c r="B165" s="572"/>
      <c r="C165" s="572"/>
      <c r="D165" s="572"/>
      <c r="E165" s="572"/>
      <c r="F165" s="68"/>
      <c r="G165" s="68"/>
      <c r="N165" s="63"/>
      <c r="P165" s="63"/>
      <c r="Q165" s="68"/>
      <c r="R165" s="68"/>
      <c r="S165" s="63"/>
      <c r="T165" s="63"/>
      <c r="U165" s="63"/>
      <c r="V165" s="63"/>
      <c r="W165" s="68"/>
      <c r="X165" s="63"/>
      <c r="Y165" s="63"/>
      <c r="Z165" s="309"/>
      <c r="AA165" s="63"/>
      <c r="AB165" s="63"/>
      <c r="AC165" s="63"/>
      <c r="AD165" s="63"/>
      <c r="AE165" s="63"/>
      <c r="AF165" s="8"/>
      <c r="AG165" s="142"/>
      <c r="AH165" s="142"/>
      <c r="AI165" s="142"/>
      <c r="AJ165" s="142"/>
      <c r="AK165" s="203">
        <v>11</v>
      </c>
    </row>
    <row r="166" spans="1:37" s="203" customFormat="1" ht="11.45" customHeight="1">
      <c r="A166" s="572"/>
      <c r="B166" s="572"/>
      <c r="C166" s="572"/>
      <c r="D166" s="572"/>
      <c r="E166" s="572"/>
      <c r="F166" s="68"/>
      <c r="G166" s="68"/>
      <c r="N166" s="63"/>
      <c r="P166" s="63"/>
      <c r="Q166" s="68"/>
      <c r="R166" s="68"/>
      <c r="S166" s="63"/>
      <c r="T166" s="63"/>
      <c r="U166" s="63"/>
      <c r="V166" s="63"/>
      <c r="W166" s="68"/>
      <c r="X166" s="63"/>
      <c r="Y166" s="63"/>
      <c r="Z166" s="309"/>
      <c r="AA166" s="63"/>
      <c r="AB166" s="63"/>
      <c r="AC166" s="63"/>
      <c r="AD166" s="63"/>
      <c r="AE166" s="63"/>
      <c r="AF166" s="8"/>
      <c r="AG166" s="142"/>
      <c r="AH166" s="142"/>
      <c r="AI166" s="142"/>
      <c r="AJ166" s="142"/>
      <c r="AK166" s="203">
        <v>11</v>
      </c>
    </row>
    <row r="167" spans="1:37" s="203" customFormat="1" ht="11.45" customHeight="1">
      <c r="A167" s="572"/>
      <c r="B167" s="572"/>
      <c r="C167" s="572"/>
      <c r="D167" s="572"/>
      <c r="E167" s="572"/>
      <c r="F167" s="68"/>
      <c r="G167" s="68"/>
      <c r="N167" s="63"/>
      <c r="P167" s="63"/>
      <c r="Q167" s="68"/>
      <c r="R167" s="68"/>
      <c r="S167" s="63"/>
      <c r="T167" s="63"/>
      <c r="U167" s="63"/>
      <c r="V167" s="63"/>
      <c r="W167" s="68"/>
      <c r="X167" s="63"/>
      <c r="Y167" s="63"/>
      <c r="Z167" s="309"/>
      <c r="AA167" s="63"/>
      <c r="AB167" s="63"/>
      <c r="AC167" s="63"/>
      <c r="AD167" s="63"/>
      <c r="AE167" s="63"/>
      <c r="AF167" s="8"/>
      <c r="AG167" s="142"/>
      <c r="AH167" s="142"/>
      <c r="AI167" s="142"/>
      <c r="AJ167" s="142"/>
      <c r="AK167" s="203">
        <v>11</v>
      </c>
    </row>
    <row r="168" spans="1:37" s="203" customFormat="1" ht="11.45" customHeight="1">
      <c r="A168" s="572"/>
      <c r="B168" s="572"/>
      <c r="C168" s="572"/>
      <c r="D168" s="572"/>
      <c r="E168" s="572"/>
      <c r="F168" s="68"/>
      <c r="G168" s="68"/>
      <c r="N168" s="63"/>
      <c r="P168" s="63"/>
      <c r="Q168" s="68"/>
      <c r="R168" s="68"/>
      <c r="S168" s="63"/>
      <c r="T168" s="63"/>
      <c r="U168" s="63"/>
      <c r="V168" s="63"/>
      <c r="W168" s="68"/>
      <c r="X168" s="63"/>
      <c r="Y168" s="63"/>
      <c r="Z168" s="309"/>
      <c r="AA168" s="63"/>
      <c r="AB168" s="63"/>
      <c r="AC168" s="63"/>
      <c r="AD168" s="63"/>
      <c r="AE168" s="63"/>
      <c r="AF168" s="8"/>
      <c r="AG168" s="142"/>
      <c r="AH168" s="142"/>
      <c r="AI168" s="142"/>
      <c r="AJ168" s="142"/>
      <c r="AK168" s="203">
        <v>11</v>
      </c>
    </row>
    <row r="169" spans="1:37" s="203" customFormat="1" ht="11.45" customHeight="1">
      <c r="A169" s="572"/>
      <c r="B169" s="572"/>
      <c r="C169" s="572"/>
      <c r="D169" s="572"/>
      <c r="E169" s="572"/>
      <c r="F169" s="68"/>
      <c r="G169" s="68"/>
      <c r="N169" s="63"/>
      <c r="P169" s="63"/>
      <c r="Q169" s="68"/>
      <c r="R169" s="68"/>
      <c r="S169" s="63"/>
      <c r="T169" s="63"/>
      <c r="U169" s="63"/>
      <c r="V169" s="63"/>
      <c r="W169" s="68"/>
      <c r="X169" s="63"/>
      <c r="Y169" s="63"/>
      <c r="Z169" s="309"/>
      <c r="AA169" s="63"/>
      <c r="AB169" s="63"/>
      <c r="AC169" s="63"/>
      <c r="AD169" s="63"/>
      <c r="AE169" s="63"/>
      <c r="AF169" s="8"/>
      <c r="AG169" s="142"/>
      <c r="AH169" s="142"/>
      <c r="AI169" s="142"/>
      <c r="AJ169" s="142"/>
      <c r="AK169" s="203">
        <v>11</v>
      </c>
    </row>
    <row r="170" spans="1:37" s="203" customFormat="1" ht="11.45" customHeight="1">
      <c r="A170" s="572"/>
      <c r="B170" s="572"/>
      <c r="C170" s="572"/>
      <c r="D170" s="572"/>
      <c r="E170" s="572"/>
      <c r="F170" s="68"/>
      <c r="G170" s="68"/>
      <c r="N170" s="63"/>
      <c r="P170" s="63"/>
      <c r="Q170" s="68"/>
      <c r="R170" s="68"/>
      <c r="S170" s="63"/>
      <c r="T170" s="63"/>
      <c r="U170" s="63"/>
      <c r="V170" s="63"/>
      <c r="W170" s="68"/>
      <c r="X170" s="63"/>
      <c r="Y170" s="63"/>
      <c r="Z170" s="309"/>
      <c r="AA170" s="63"/>
      <c r="AB170" s="63"/>
      <c r="AC170" s="63"/>
      <c r="AD170" s="63"/>
      <c r="AE170" s="63"/>
      <c r="AF170" s="8"/>
      <c r="AG170" s="142"/>
      <c r="AH170" s="142"/>
      <c r="AI170" s="142"/>
      <c r="AJ170" s="142"/>
      <c r="AK170" s="203">
        <v>11</v>
      </c>
    </row>
    <row r="171" spans="1:37" s="203" customFormat="1" ht="11.45" customHeight="1">
      <c r="A171" s="572"/>
      <c r="B171" s="572"/>
      <c r="C171" s="572"/>
      <c r="D171" s="572"/>
      <c r="E171" s="572"/>
      <c r="F171" s="68"/>
      <c r="G171" s="68"/>
      <c r="N171" s="63"/>
      <c r="P171" s="63"/>
      <c r="Q171" s="68"/>
      <c r="R171" s="68"/>
      <c r="S171" s="63"/>
      <c r="T171" s="63"/>
      <c r="U171" s="63"/>
      <c r="V171" s="63"/>
      <c r="W171" s="68"/>
      <c r="X171" s="63"/>
      <c r="Y171" s="63"/>
      <c r="Z171" s="309"/>
      <c r="AA171" s="63"/>
      <c r="AB171" s="63"/>
      <c r="AC171" s="63"/>
      <c r="AD171" s="63"/>
      <c r="AE171" s="63"/>
      <c r="AF171" s="8"/>
      <c r="AG171" s="142"/>
      <c r="AH171" s="142"/>
      <c r="AI171" s="142"/>
      <c r="AJ171" s="142"/>
      <c r="AK171" s="203">
        <v>11</v>
      </c>
    </row>
    <row r="172" spans="1:37" s="203" customFormat="1" ht="11.45" customHeight="1">
      <c r="A172" s="572"/>
      <c r="B172" s="572"/>
      <c r="C172" s="572"/>
      <c r="D172" s="572"/>
      <c r="E172" s="572"/>
      <c r="F172" s="68"/>
      <c r="G172" s="68"/>
      <c r="N172" s="63"/>
      <c r="P172" s="63"/>
      <c r="Q172" s="68"/>
      <c r="R172" s="68"/>
      <c r="S172" s="63"/>
      <c r="T172" s="63"/>
      <c r="U172" s="63"/>
      <c r="V172" s="63"/>
      <c r="W172" s="68"/>
      <c r="X172" s="63"/>
      <c r="Y172" s="63"/>
      <c r="Z172" s="309"/>
      <c r="AA172" s="63"/>
      <c r="AB172" s="63"/>
      <c r="AC172" s="63"/>
      <c r="AD172" s="63"/>
      <c r="AE172" s="63"/>
      <c r="AF172" s="8"/>
      <c r="AG172" s="142"/>
      <c r="AH172" s="142"/>
      <c r="AI172" s="142"/>
      <c r="AJ172" s="142"/>
      <c r="AK172" s="203">
        <v>11</v>
      </c>
    </row>
    <row r="173" spans="1:37" s="203" customFormat="1" ht="11.45" customHeight="1">
      <c r="A173" s="572"/>
      <c r="B173" s="572"/>
      <c r="C173" s="572"/>
      <c r="D173" s="572"/>
      <c r="E173" s="572"/>
      <c r="F173" s="68"/>
      <c r="G173" s="68"/>
      <c r="N173" s="63"/>
      <c r="P173" s="63"/>
      <c r="Q173" s="68"/>
      <c r="R173" s="68"/>
      <c r="S173" s="63"/>
      <c r="T173" s="63"/>
      <c r="U173" s="63"/>
      <c r="V173" s="63"/>
      <c r="W173" s="68"/>
      <c r="X173" s="63"/>
      <c r="Y173" s="63"/>
      <c r="Z173" s="309"/>
      <c r="AA173" s="63"/>
      <c r="AB173" s="63"/>
      <c r="AC173" s="63"/>
      <c r="AD173" s="63"/>
      <c r="AE173" s="63"/>
      <c r="AF173" s="8"/>
      <c r="AG173" s="142"/>
      <c r="AH173" s="142"/>
      <c r="AI173" s="142"/>
      <c r="AJ173" s="142"/>
      <c r="AK173" s="203">
        <v>11</v>
      </c>
    </row>
    <row r="174" spans="1:37" s="203" customFormat="1" ht="11.45" customHeight="1">
      <c r="A174" s="572"/>
      <c r="B174" s="572"/>
      <c r="C174" s="572"/>
      <c r="D174" s="572"/>
      <c r="E174" s="572"/>
      <c r="F174" s="68"/>
      <c r="G174" s="68"/>
      <c r="N174" s="63"/>
      <c r="P174" s="63"/>
      <c r="Q174" s="68"/>
      <c r="R174" s="68"/>
      <c r="S174" s="63"/>
      <c r="T174" s="63"/>
      <c r="U174" s="63"/>
      <c r="V174" s="63"/>
      <c r="W174" s="68"/>
      <c r="X174" s="63"/>
      <c r="Y174" s="63"/>
      <c r="Z174" s="309"/>
      <c r="AA174" s="63"/>
      <c r="AB174" s="63"/>
      <c r="AC174" s="63"/>
      <c r="AD174" s="63"/>
      <c r="AE174" s="63"/>
      <c r="AF174" s="8"/>
      <c r="AG174" s="142"/>
      <c r="AH174" s="142"/>
      <c r="AI174" s="142"/>
      <c r="AJ174" s="142"/>
      <c r="AK174" s="203">
        <v>11</v>
      </c>
    </row>
    <row r="175" spans="1:37" s="203" customFormat="1" ht="11.45" customHeight="1">
      <c r="A175" s="572"/>
      <c r="B175" s="572"/>
      <c r="C175" s="572"/>
      <c r="D175" s="572"/>
      <c r="E175" s="572"/>
      <c r="F175" s="68"/>
      <c r="G175" s="68"/>
      <c r="N175" s="63"/>
      <c r="P175" s="63"/>
      <c r="Q175" s="68"/>
      <c r="R175" s="68"/>
      <c r="S175" s="63"/>
      <c r="T175" s="63"/>
      <c r="U175" s="63"/>
      <c r="V175" s="63"/>
      <c r="W175" s="68"/>
      <c r="X175" s="63"/>
      <c r="Y175" s="63"/>
      <c r="Z175" s="309"/>
      <c r="AA175" s="63"/>
      <c r="AB175" s="63"/>
      <c r="AC175" s="63"/>
      <c r="AD175" s="63"/>
      <c r="AE175" s="63"/>
      <c r="AF175" s="8"/>
      <c r="AG175" s="142"/>
      <c r="AH175" s="142"/>
      <c r="AI175" s="142"/>
      <c r="AJ175" s="142"/>
      <c r="AK175" s="203">
        <v>11</v>
      </c>
    </row>
    <row r="176" spans="1:37" s="203" customFormat="1" ht="11.45" customHeight="1">
      <c r="A176" s="572"/>
      <c r="B176" s="572"/>
      <c r="C176" s="572"/>
      <c r="D176" s="572"/>
      <c r="E176" s="572"/>
      <c r="F176" s="68"/>
      <c r="G176" s="68"/>
      <c r="N176" s="63"/>
      <c r="P176" s="63"/>
      <c r="Q176" s="68"/>
      <c r="R176" s="68"/>
      <c r="S176" s="63"/>
      <c r="T176" s="63"/>
      <c r="U176" s="63"/>
      <c r="V176" s="63"/>
      <c r="W176" s="68"/>
      <c r="X176" s="63"/>
      <c r="Y176" s="63"/>
      <c r="Z176" s="309"/>
      <c r="AA176" s="63"/>
      <c r="AB176" s="63"/>
      <c r="AC176" s="63"/>
      <c r="AD176" s="63"/>
      <c r="AE176" s="63"/>
      <c r="AF176" s="8"/>
      <c r="AG176" s="142"/>
      <c r="AH176" s="142"/>
      <c r="AI176" s="142"/>
      <c r="AJ176" s="142"/>
      <c r="AK176" s="203">
        <v>11</v>
      </c>
    </row>
    <row r="177" spans="1:37" s="203" customFormat="1" ht="11.45" customHeight="1">
      <c r="A177" s="572"/>
      <c r="B177" s="572"/>
      <c r="C177" s="572"/>
      <c r="D177" s="572"/>
      <c r="E177" s="572"/>
      <c r="F177" s="68"/>
      <c r="G177" s="68"/>
      <c r="N177" s="63"/>
      <c r="P177" s="63"/>
      <c r="Q177" s="68"/>
      <c r="R177" s="68"/>
      <c r="S177" s="63"/>
      <c r="T177" s="63"/>
      <c r="U177" s="63"/>
      <c r="V177" s="63"/>
      <c r="W177" s="68"/>
      <c r="X177" s="63"/>
      <c r="Y177" s="63"/>
      <c r="Z177" s="309"/>
      <c r="AA177" s="63"/>
      <c r="AB177" s="63"/>
      <c r="AC177" s="63"/>
      <c r="AD177" s="63"/>
      <c r="AE177" s="63"/>
      <c r="AF177" s="8"/>
      <c r="AG177" s="142"/>
      <c r="AH177" s="142"/>
      <c r="AI177" s="142"/>
      <c r="AJ177" s="142"/>
      <c r="AK177" s="203">
        <v>11</v>
      </c>
    </row>
    <row r="178" spans="1:37" s="203" customFormat="1" ht="11.45" customHeight="1">
      <c r="A178" s="572"/>
      <c r="B178" s="572"/>
      <c r="C178" s="572"/>
      <c r="D178" s="572"/>
      <c r="E178" s="572"/>
      <c r="F178" s="68"/>
      <c r="G178" s="68"/>
      <c r="N178" s="63"/>
      <c r="P178" s="63"/>
      <c r="Q178" s="68"/>
      <c r="R178" s="68"/>
      <c r="S178" s="63"/>
      <c r="T178" s="63"/>
      <c r="U178" s="63"/>
      <c r="V178" s="63"/>
      <c r="W178" s="68"/>
      <c r="X178" s="63"/>
      <c r="Y178" s="63"/>
      <c r="Z178" s="309"/>
      <c r="AA178" s="63"/>
      <c r="AB178" s="63"/>
      <c r="AC178" s="63"/>
      <c r="AD178" s="63"/>
      <c r="AE178" s="63"/>
      <c r="AF178" s="8"/>
      <c r="AG178" s="142"/>
      <c r="AH178" s="142"/>
      <c r="AI178" s="142"/>
      <c r="AJ178" s="142"/>
      <c r="AK178" s="203">
        <v>11</v>
      </c>
    </row>
    <row r="179" spans="1:37" s="203" customFormat="1" ht="11.45" customHeight="1">
      <c r="A179" s="572"/>
      <c r="B179" s="572"/>
      <c r="C179" s="572"/>
      <c r="D179" s="572"/>
      <c r="E179" s="572"/>
      <c r="F179" s="68"/>
      <c r="G179" s="68"/>
      <c r="N179" s="63"/>
      <c r="P179" s="63"/>
      <c r="Q179" s="68"/>
      <c r="R179" s="68"/>
      <c r="S179" s="63"/>
      <c r="T179" s="63"/>
      <c r="U179" s="63"/>
      <c r="V179" s="63"/>
      <c r="W179" s="68"/>
      <c r="X179" s="63"/>
      <c r="Y179" s="63"/>
      <c r="Z179" s="309"/>
      <c r="AA179" s="63"/>
      <c r="AB179" s="63"/>
      <c r="AC179" s="63"/>
      <c r="AD179" s="63"/>
      <c r="AE179" s="63"/>
      <c r="AF179" s="8"/>
      <c r="AG179" s="142"/>
      <c r="AH179" s="142"/>
      <c r="AI179" s="142"/>
      <c r="AJ179" s="142"/>
      <c r="AK179" s="203">
        <v>11</v>
      </c>
    </row>
    <row r="180" spans="1:37" s="203" customFormat="1" ht="11.45" customHeight="1">
      <c r="A180" s="572"/>
      <c r="B180" s="572"/>
      <c r="C180" s="572"/>
      <c r="D180" s="572"/>
      <c r="E180" s="572"/>
      <c r="F180" s="68"/>
      <c r="G180" s="68"/>
      <c r="N180" s="63"/>
      <c r="P180" s="63"/>
      <c r="Q180" s="68"/>
      <c r="R180" s="68"/>
      <c r="S180" s="63"/>
      <c r="T180" s="63"/>
      <c r="U180" s="63"/>
      <c r="V180" s="63"/>
      <c r="W180" s="68"/>
      <c r="X180" s="63"/>
      <c r="Y180" s="63"/>
      <c r="Z180" s="309"/>
      <c r="AA180" s="63"/>
      <c r="AB180" s="63"/>
      <c r="AC180" s="63"/>
      <c r="AD180" s="63"/>
      <c r="AE180" s="63"/>
      <c r="AF180" s="8"/>
      <c r="AG180" s="142"/>
      <c r="AH180" s="142"/>
      <c r="AI180" s="142"/>
      <c r="AJ180" s="142"/>
      <c r="AK180" s="203">
        <v>11</v>
      </c>
    </row>
    <row r="181" spans="1:37" s="203" customFormat="1" ht="11.45" customHeight="1">
      <c r="A181" s="572"/>
      <c r="B181" s="572"/>
      <c r="C181" s="572"/>
      <c r="D181" s="572"/>
      <c r="E181" s="572"/>
      <c r="F181" s="68"/>
      <c r="G181" s="68"/>
      <c r="N181" s="63"/>
      <c r="P181" s="63"/>
      <c r="Q181" s="68"/>
      <c r="R181" s="68"/>
      <c r="S181" s="63"/>
      <c r="T181" s="63"/>
      <c r="U181" s="63"/>
      <c r="V181" s="63"/>
      <c r="W181" s="68"/>
      <c r="X181" s="63"/>
      <c r="Y181" s="63"/>
      <c r="Z181" s="309"/>
      <c r="AA181" s="63"/>
      <c r="AB181" s="63"/>
      <c r="AC181" s="63"/>
      <c r="AD181" s="63"/>
      <c r="AE181" s="63"/>
      <c r="AF181" s="8"/>
      <c r="AG181" s="142"/>
      <c r="AH181" s="142"/>
      <c r="AI181" s="142"/>
      <c r="AJ181" s="142"/>
      <c r="AK181" s="203">
        <v>11</v>
      </c>
    </row>
    <row r="182" spans="1:37" s="203" customFormat="1" ht="11.45" customHeight="1">
      <c r="A182" s="572"/>
      <c r="B182" s="572"/>
      <c r="C182" s="572"/>
      <c r="D182" s="572"/>
      <c r="E182" s="572"/>
      <c r="F182" s="68"/>
      <c r="G182" s="68"/>
      <c r="N182" s="63"/>
      <c r="P182" s="63"/>
      <c r="Q182" s="68"/>
      <c r="R182" s="68"/>
      <c r="S182" s="63"/>
      <c r="T182" s="63"/>
      <c r="U182" s="63"/>
      <c r="V182" s="63"/>
      <c r="W182" s="68"/>
      <c r="X182" s="63"/>
      <c r="Y182" s="63"/>
      <c r="Z182" s="309"/>
      <c r="AA182" s="63"/>
      <c r="AB182" s="63"/>
      <c r="AC182" s="63"/>
      <c r="AD182" s="63"/>
      <c r="AE182" s="63"/>
      <c r="AF182" s="8"/>
      <c r="AG182" s="142"/>
      <c r="AH182" s="142"/>
      <c r="AI182" s="142"/>
      <c r="AJ182" s="142"/>
      <c r="AK182" s="203">
        <v>11</v>
      </c>
    </row>
    <row r="183" spans="1:37" s="203" customFormat="1" ht="11.45" customHeight="1">
      <c r="A183" s="572"/>
      <c r="B183" s="572"/>
      <c r="C183" s="572"/>
      <c r="D183" s="572"/>
      <c r="E183" s="572"/>
      <c r="F183" s="68"/>
      <c r="G183" s="68"/>
      <c r="N183" s="63"/>
      <c r="P183" s="63"/>
      <c r="Q183" s="68"/>
      <c r="R183" s="68"/>
      <c r="S183" s="63"/>
      <c r="T183" s="63"/>
      <c r="U183" s="63"/>
      <c r="V183" s="63"/>
      <c r="W183" s="68"/>
      <c r="X183" s="63"/>
      <c r="Y183" s="63"/>
      <c r="Z183" s="309"/>
      <c r="AA183" s="63"/>
      <c r="AB183" s="63"/>
      <c r="AC183" s="63"/>
      <c r="AD183" s="63"/>
      <c r="AE183" s="63"/>
      <c r="AF183" s="8"/>
      <c r="AG183" s="142"/>
      <c r="AH183" s="142"/>
      <c r="AI183" s="142"/>
      <c r="AJ183" s="142"/>
      <c r="AK183" s="203">
        <v>11</v>
      </c>
    </row>
    <row r="184" spans="1:37" s="203" customFormat="1" ht="11.45" customHeight="1">
      <c r="A184" s="572"/>
      <c r="B184" s="572"/>
      <c r="C184" s="572"/>
      <c r="D184" s="572"/>
      <c r="E184" s="572"/>
      <c r="F184" s="68"/>
      <c r="G184" s="68"/>
      <c r="N184" s="63"/>
      <c r="P184" s="63"/>
      <c r="Q184" s="68"/>
      <c r="R184" s="68"/>
      <c r="S184" s="63"/>
      <c r="T184" s="63"/>
      <c r="U184" s="63"/>
      <c r="V184" s="63"/>
      <c r="W184" s="68"/>
      <c r="X184" s="63"/>
      <c r="Y184" s="63"/>
      <c r="Z184" s="309"/>
      <c r="AA184" s="63"/>
      <c r="AB184" s="63"/>
      <c r="AC184" s="63"/>
      <c r="AD184" s="63"/>
      <c r="AE184" s="63"/>
      <c r="AF184" s="8"/>
      <c r="AG184" s="142"/>
      <c r="AH184" s="142"/>
      <c r="AI184" s="142"/>
      <c r="AJ184" s="142"/>
      <c r="AK184" s="203">
        <v>11</v>
      </c>
    </row>
    <row r="185" spans="1:37" s="203" customFormat="1" ht="11.45" customHeight="1">
      <c r="A185" s="572"/>
      <c r="B185" s="572"/>
      <c r="C185" s="572"/>
      <c r="D185" s="572"/>
      <c r="E185" s="572"/>
      <c r="F185" s="68"/>
      <c r="G185" s="68"/>
      <c r="N185" s="63"/>
      <c r="P185" s="63"/>
      <c r="Q185" s="68"/>
      <c r="R185" s="68"/>
      <c r="S185" s="63"/>
      <c r="T185" s="63"/>
      <c r="U185" s="63"/>
      <c r="V185" s="63"/>
      <c r="W185" s="68"/>
      <c r="X185" s="63"/>
      <c r="Y185" s="63"/>
      <c r="Z185" s="309"/>
      <c r="AA185" s="63"/>
      <c r="AB185" s="63"/>
      <c r="AC185" s="63"/>
      <c r="AD185" s="63"/>
      <c r="AE185" s="63"/>
      <c r="AF185" s="8"/>
      <c r="AG185" s="142"/>
      <c r="AH185" s="142"/>
      <c r="AI185" s="142"/>
      <c r="AJ185" s="142"/>
      <c r="AK185" s="203">
        <v>11</v>
      </c>
    </row>
    <row r="186" spans="1:37" s="203" customFormat="1" ht="11.45" customHeight="1">
      <c r="A186" s="572"/>
      <c r="B186" s="572"/>
      <c r="C186" s="572"/>
      <c r="D186" s="572"/>
      <c r="E186" s="572"/>
      <c r="F186" s="68"/>
      <c r="G186" s="68"/>
      <c r="N186" s="63"/>
      <c r="P186" s="63"/>
      <c r="Q186" s="68"/>
      <c r="R186" s="68"/>
      <c r="S186" s="63"/>
      <c r="T186" s="63"/>
      <c r="U186" s="63"/>
      <c r="V186" s="63"/>
      <c r="W186" s="68"/>
      <c r="X186" s="63"/>
      <c r="Y186" s="63"/>
      <c r="Z186" s="309"/>
      <c r="AA186" s="63"/>
      <c r="AB186" s="63"/>
      <c r="AC186" s="63"/>
      <c r="AD186" s="63"/>
      <c r="AE186" s="63"/>
      <c r="AF186" s="8"/>
      <c r="AG186" s="142"/>
      <c r="AH186" s="142"/>
      <c r="AI186" s="142"/>
      <c r="AJ186" s="142"/>
      <c r="AK186" s="203">
        <v>11</v>
      </c>
    </row>
    <row r="187" spans="1:37" s="203" customFormat="1" ht="11.45" customHeight="1">
      <c r="A187" s="572"/>
      <c r="B187" s="572"/>
      <c r="C187" s="572"/>
      <c r="D187" s="572"/>
      <c r="E187" s="572"/>
      <c r="F187" s="68"/>
      <c r="G187" s="68"/>
      <c r="N187" s="63"/>
      <c r="P187" s="63"/>
      <c r="Q187" s="68"/>
      <c r="R187" s="68"/>
      <c r="S187" s="63"/>
      <c r="T187" s="63"/>
      <c r="U187" s="63"/>
      <c r="V187" s="63"/>
      <c r="W187" s="68"/>
      <c r="X187" s="63"/>
      <c r="Y187" s="63"/>
      <c r="Z187" s="309"/>
      <c r="AA187" s="63"/>
      <c r="AB187" s="63"/>
      <c r="AC187" s="63"/>
      <c r="AD187" s="63"/>
      <c r="AE187" s="63"/>
      <c r="AF187" s="8"/>
      <c r="AG187" s="142"/>
      <c r="AH187" s="142"/>
      <c r="AI187" s="142"/>
      <c r="AJ187" s="142"/>
      <c r="AK187" s="203">
        <v>11</v>
      </c>
    </row>
    <row r="188" spans="1:37" s="203" customFormat="1" ht="11.45" customHeight="1">
      <c r="A188" s="572"/>
      <c r="B188" s="572"/>
      <c r="C188" s="572"/>
      <c r="D188" s="572"/>
      <c r="E188" s="572"/>
      <c r="F188" s="68"/>
      <c r="G188" s="68"/>
      <c r="N188" s="63"/>
      <c r="P188" s="63"/>
      <c r="Q188" s="68"/>
      <c r="R188" s="68"/>
      <c r="S188" s="63"/>
      <c r="T188" s="63"/>
      <c r="U188" s="63"/>
      <c r="V188" s="63"/>
      <c r="W188" s="68"/>
      <c r="X188" s="63"/>
      <c r="Y188" s="63"/>
      <c r="Z188" s="309"/>
      <c r="AA188" s="63"/>
      <c r="AB188" s="63"/>
      <c r="AC188" s="63"/>
      <c r="AD188" s="63"/>
      <c r="AE188" s="63"/>
      <c r="AF188" s="8"/>
      <c r="AG188" s="142"/>
      <c r="AH188" s="142"/>
      <c r="AI188" s="142"/>
      <c r="AJ188" s="142"/>
      <c r="AK188" s="203">
        <v>11</v>
      </c>
    </row>
    <row r="189" spans="1:37" s="203" customFormat="1" ht="11.45" customHeight="1">
      <c r="A189" s="572"/>
      <c r="B189" s="572"/>
      <c r="C189" s="572"/>
      <c r="D189" s="572"/>
      <c r="E189" s="572"/>
      <c r="F189" s="68"/>
      <c r="G189" s="68"/>
      <c r="N189" s="63"/>
      <c r="P189" s="63"/>
      <c r="Q189" s="68"/>
      <c r="R189" s="68"/>
      <c r="S189" s="63"/>
      <c r="T189" s="63"/>
      <c r="U189" s="63"/>
      <c r="V189" s="63"/>
      <c r="W189" s="68"/>
      <c r="X189" s="63"/>
      <c r="Y189" s="63"/>
      <c r="Z189" s="309"/>
      <c r="AA189" s="63"/>
      <c r="AB189" s="63"/>
      <c r="AC189" s="63"/>
      <c r="AD189" s="63"/>
      <c r="AE189" s="63"/>
      <c r="AF189" s="8"/>
      <c r="AG189" s="142"/>
      <c r="AH189" s="142"/>
      <c r="AI189" s="142"/>
      <c r="AJ189" s="142"/>
      <c r="AK189" s="203">
        <v>11</v>
      </c>
    </row>
    <row r="190" spans="1:37" ht="11.45" customHeight="1">
      <c r="AK190" s="11">
        <v>11</v>
      </c>
    </row>
    <row r="191" spans="1:37" ht="11.45" customHeight="1">
      <c r="AK191" s="11">
        <v>11</v>
      </c>
    </row>
    <row r="192" spans="1:37" ht="11.45" customHeight="1">
      <c r="AK192" s="11">
        <v>11</v>
      </c>
    </row>
    <row r="193" spans="1:37" ht="11.45" customHeight="1">
      <c r="A193" s="575"/>
      <c r="B193" s="575"/>
      <c r="C193" s="575"/>
      <c r="D193" s="575"/>
      <c r="E193" s="575"/>
      <c r="F193" s="11"/>
      <c r="N193" s="11"/>
      <c r="P193" s="11"/>
      <c r="S193" s="11"/>
      <c r="T193" s="11"/>
      <c r="U193" s="11"/>
      <c r="V193" s="11"/>
      <c r="X193" s="11"/>
      <c r="Y193" s="11"/>
      <c r="Z193" s="11"/>
      <c r="AA193" s="11"/>
      <c r="AB193" s="11"/>
      <c r="AC193" s="11"/>
      <c r="AD193" s="11"/>
      <c r="AE193" s="11"/>
      <c r="AF193" s="11"/>
      <c r="AG193" s="11"/>
      <c r="AH193" s="11"/>
      <c r="AI193" s="11"/>
      <c r="AJ193" s="11"/>
      <c r="AK193" s="11">
        <v>11</v>
      </c>
    </row>
    <row r="194" spans="1:37" ht="11.45" customHeight="1">
      <c r="A194" s="575"/>
      <c r="B194" s="575"/>
      <c r="C194" s="575"/>
      <c r="D194" s="575"/>
      <c r="E194" s="575"/>
      <c r="F194" s="11"/>
      <c r="N194" s="11"/>
      <c r="P194" s="11"/>
      <c r="S194" s="11"/>
      <c r="T194" s="11"/>
      <c r="U194" s="11"/>
      <c r="V194" s="11"/>
      <c r="X194" s="11"/>
      <c r="Y194" s="11"/>
      <c r="Z194" s="11"/>
      <c r="AA194" s="11"/>
      <c r="AB194" s="11"/>
      <c r="AC194" s="11"/>
      <c r="AD194" s="11"/>
      <c r="AE194" s="11"/>
      <c r="AF194" s="11"/>
      <c r="AG194" s="11"/>
      <c r="AH194" s="11"/>
      <c r="AI194" s="11"/>
      <c r="AJ194" s="11"/>
      <c r="AK194" s="11">
        <v>11</v>
      </c>
    </row>
    <row r="195" spans="1:37" ht="11.45" customHeight="1">
      <c r="A195" s="575"/>
      <c r="B195" s="575"/>
      <c r="C195" s="575"/>
      <c r="D195" s="575"/>
      <c r="E195" s="575"/>
      <c r="F195" s="11"/>
      <c r="N195" s="11"/>
      <c r="P195" s="11"/>
      <c r="S195" s="11"/>
      <c r="T195" s="11"/>
      <c r="U195" s="11"/>
      <c r="V195" s="11"/>
      <c r="X195" s="11"/>
      <c r="Y195" s="11"/>
      <c r="Z195" s="11"/>
      <c r="AA195" s="11"/>
      <c r="AB195" s="11"/>
      <c r="AC195" s="11"/>
      <c r="AD195" s="11"/>
      <c r="AE195" s="11"/>
      <c r="AF195" s="11"/>
      <c r="AG195" s="11"/>
      <c r="AH195" s="11"/>
      <c r="AI195" s="11"/>
      <c r="AJ195" s="11"/>
      <c r="AK195" s="11">
        <v>11</v>
      </c>
    </row>
    <row r="196" spans="1:37" ht="11.45" customHeight="1">
      <c r="A196" s="575"/>
      <c r="B196" s="575"/>
      <c r="C196" s="575"/>
      <c r="D196" s="575"/>
      <c r="E196" s="575"/>
      <c r="F196" s="11"/>
      <c r="N196" s="11"/>
      <c r="P196" s="11"/>
      <c r="S196" s="11"/>
      <c r="T196" s="11"/>
      <c r="U196" s="11"/>
      <c r="V196" s="11"/>
      <c r="X196" s="11"/>
      <c r="Y196" s="11"/>
      <c r="Z196" s="11"/>
      <c r="AA196" s="11"/>
      <c r="AB196" s="11"/>
      <c r="AC196" s="11"/>
      <c r="AD196" s="11"/>
      <c r="AE196" s="11"/>
      <c r="AF196" s="11"/>
      <c r="AG196" s="11"/>
      <c r="AH196" s="11"/>
      <c r="AI196" s="11"/>
      <c r="AJ196" s="11"/>
      <c r="AK196" s="11">
        <v>11</v>
      </c>
    </row>
    <row r="197" spans="1:37" ht="11.45" customHeight="1">
      <c r="A197" s="575"/>
      <c r="B197" s="575"/>
      <c r="C197" s="575"/>
      <c r="D197" s="575"/>
      <c r="E197" s="575"/>
      <c r="F197" s="11"/>
      <c r="N197" s="11"/>
      <c r="P197" s="11"/>
      <c r="S197" s="11"/>
      <c r="T197" s="11"/>
      <c r="U197" s="11"/>
      <c r="V197" s="11"/>
      <c r="X197" s="11"/>
      <c r="Y197" s="11"/>
      <c r="Z197" s="11"/>
      <c r="AA197" s="11"/>
      <c r="AB197" s="11"/>
      <c r="AC197" s="11"/>
      <c r="AD197" s="11"/>
      <c r="AE197" s="11"/>
      <c r="AF197" s="11"/>
      <c r="AG197" s="11"/>
      <c r="AH197" s="11"/>
      <c r="AI197" s="11"/>
      <c r="AJ197" s="11"/>
      <c r="AK197" s="11">
        <v>11</v>
      </c>
    </row>
    <row r="198" spans="1:37" ht="11.45" customHeight="1">
      <c r="A198" s="575"/>
      <c r="B198" s="575"/>
      <c r="C198" s="575"/>
      <c r="D198" s="575"/>
      <c r="E198" s="575"/>
      <c r="F198" s="11"/>
      <c r="N198" s="11"/>
      <c r="P198" s="11"/>
      <c r="S198" s="11"/>
      <c r="T198" s="11"/>
      <c r="U198" s="11"/>
      <c r="V198" s="11"/>
      <c r="X198" s="11"/>
      <c r="Y198" s="11"/>
      <c r="Z198" s="11"/>
      <c r="AA198" s="11"/>
      <c r="AB198" s="11"/>
      <c r="AC198" s="11"/>
      <c r="AD198" s="11"/>
      <c r="AE198" s="11"/>
      <c r="AF198" s="11"/>
      <c r="AG198" s="11"/>
      <c r="AH198" s="11"/>
      <c r="AI198" s="11"/>
      <c r="AJ198" s="11"/>
      <c r="AK198" s="11">
        <v>11</v>
      </c>
    </row>
    <row r="199" spans="1:37" ht="11.45" customHeight="1">
      <c r="A199" s="575"/>
      <c r="B199" s="575"/>
      <c r="C199" s="575"/>
      <c r="D199" s="575"/>
      <c r="E199" s="575"/>
      <c r="F199" s="11"/>
      <c r="N199" s="11"/>
      <c r="P199" s="11"/>
      <c r="S199" s="11"/>
      <c r="T199" s="11"/>
      <c r="U199" s="11"/>
      <c r="V199" s="11"/>
      <c r="X199" s="11"/>
      <c r="Y199" s="11"/>
      <c r="Z199" s="11"/>
      <c r="AA199" s="11"/>
      <c r="AB199" s="11"/>
      <c r="AC199" s="11"/>
      <c r="AD199" s="11"/>
      <c r="AE199" s="11"/>
      <c r="AF199" s="11"/>
      <c r="AG199" s="11"/>
      <c r="AH199" s="11"/>
      <c r="AI199" s="11"/>
      <c r="AJ199" s="11"/>
      <c r="AK199" s="11">
        <v>11</v>
      </c>
    </row>
    <row r="200" spans="1:37" ht="11.45" customHeight="1">
      <c r="A200" s="575"/>
      <c r="B200" s="575"/>
      <c r="C200" s="575"/>
      <c r="D200" s="575"/>
      <c r="E200" s="575"/>
      <c r="F200" s="11"/>
      <c r="N200" s="11"/>
      <c r="P200" s="11"/>
      <c r="S200" s="11"/>
      <c r="T200" s="11"/>
      <c r="U200" s="11"/>
      <c r="V200" s="11"/>
      <c r="X200" s="11"/>
      <c r="Y200" s="11"/>
      <c r="Z200" s="11"/>
      <c r="AA200" s="11"/>
      <c r="AB200" s="11"/>
      <c r="AC200" s="11"/>
      <c r="AD200" s="11"/>
      <c r="AE200" s="11"/>
      <c r="AF200" s="11"/>
      <c r="AG200" s="11"/>
      <c r="AH200" s="11"/>
      <c r="AI200" s="11"/>
      <c r="AJ200" s="11"/>
      <c r="AK200" s="11">
        <v>11</v>
      </c>
    </row>
    <row r="201" spans="1:37" ht="11.45" customHeight="1">
      <c r="A201" s="575"/>
      <c r="B201" s="575"/>
      <c r="C201" s="575"/>
      <c r="D201" s="575"/>
      <c r="E201" s="575"/>
      <c r="F201" s="11"/>
      <c r="N201" s="11"/>
      <c r="P201" s="11"/>
      <c r="S201" s="11"/>
      <c r="T201" s="11"/>
      <c r="U201" s="11"/>
      <c r="V201" s="11"/>
      <c r="X201" s="11"/>
      <c r="Y201" s="11"/>
      <c r="Z201" s="11"/>
      <c r="AA201" s="11"/>
      <c r="AB201" s="11"/>
      <c r="AC201" s="11"/>
      <c r="AD201" s="11"/>
      <c r="AE201" s="11"/>
      <c r="AF201" s="11"/>
      <c r="AG201" s="11"/>
      <c r="AH201" s="11"/>
      <c r="AI201" s="11"/>
      <c r="AJ201" s="11"/>
      <c r="AK201" s="11">
        <v>11</v>
      </c>
    </row>
    <row r="202" spans="1:37" ht="11.45" customHeight="1">
      <c r="A202" s="575"/>
      <c r="B202" s="575"/>
      <c r="C202" s="575"/>
      <c r="D202" s="575"/>
      <c r="E202" s="575"/>
      <c r="F202" s="11"/>
      <c r="N202" s="11"/>
      <c r="P202" s="11"/>
      <c r="S202" s="11"/>
      <c r="T202" s="11"/>
      <c r="U202" s="11"/>
      <c r="V202" s="11"/>
      <c r="X202" s="11"/>
      <c r="Y202" s="11"/>
      <c r="Z202" s="11"/>
      <c r="AA202" s="11"/>
      <c r="AB202" s="11"/>
      <c r="AC202" s="11"/>
      <c r="AD202" s="11"/>
      <c r="AE202" s="11"/>
      <c r="AF202" s="11"/>
      <c r="AG202" s="11"/>
      <c r="AH202" s="11"/>
      <c r="AI202" s="11"/>
      <c r="AJ202" s="11"/>
      <c r="AK202" s="11">
        <v>11</v>
      </c>
    </row>
    <row r="203" spans="1:37" ht="11.45" customHeight="1">
      <c r="A203" s="575"/>
      <c r="B203" s="575"/>
      <c r="C203" s="575"/>
      <c r="D203" s="575"/>
      <c r="E203" s="575"/>
      <c r="F203" s="11"/>
      <c r="N203" s="11"/>
      <c r="P203" s="11"/>
      <c r="S203" s="11"/>
      <c r="T203" s="11"/>
      <c r="U203" s="11"/>
      <c r="V203" s="11"/>
      <c r="X203" s="11"/>
      <c r="Y203" s="11"/>
      <c r="Z203" s="11"/>
      <c r="AA203" s="11"/>
      <c r="AB203" s="11"/>
      <c r="AC203" s="11"/>
      <c r="AD203" s="11"/>
      <c r="AE203" s="11"/>
      <c r="AF203" s="11"/>
      <c r="AG203" s="11"/>
      <c r="AH203" s="11"/>
      <c r="AI203" s="11"/>
      <c r="AJ203" s="11"/>
      <c r="AK203" s="11">
        <v>11</v>
      </c>
    </row>
    <row r="204" spans="1:37" ht="12.75" hidden="1" customHeight="1">
      <c r="A204" s="572" t="s">
        <v>82</v>
      </c>
      <c r="B204" s="572" t="s">
        <v>155</v>
      </c>
      <c r="C204" s="572" t="s">
        <v>155</v>
      </c>
      <c r="D204" s="572" t="s">
        <v>155</v>
      </c>
      <c r="E204" s="572" t="s">
        <v>155</v>
      </c>
      <c r="F204" s="11">
        <v>16</v>
      </c>
      <c r="G204" s="68">
        <v>0</v>
      </c>
      <c r="H204" s="11">
        <v>3</v>
      </c>
      <c r="I204" s="11">
        <v>7</v>
      </c>
      <c r="J204" s="11">
        <v>56</v>
      </c>
      <c r="K204" s="11">
        <v>10</v>
      </c>
      <c r="L204" s="11">
        <v>40</v>
      </c>
      <c r="M204" s="11">
        <v>40</v>
      </c>
      <c r="N204" s="63">
        <v>9</v>
      </c>
      <c r="O204" s="11">
        <v>102</v>
      </c>
      <c r="P204" s="63">
        <v>9</v>
      </c>
      <c r="Q204" s="68">
        <v>5</v>
      </c>
      <c r="R204" s="68">
        <v>3</v>
      </c>
      <c r="S204" s="63">
        <v>3</v>
      </c>
      <c r="T204" s="63">
        <v>3</v>
      </c>
      <c r="U204" s="63">
        <v>3</v>
      </c>
      <c r="V204" s="63">
        <v>3</v>
      </c>
      <c r="W204" s="68">
        <v>10</v>
      </c>
      <c r="X204" s="63">
        <v>34</v>
      </c>
      <c r="Y204" s="63">
        <v>9</v>
      </c>
      <c r="Z204" s="309">
        <v>8</v>
      </c>
      <c r="AA204" s="63">
        <v>8</v>
      </c>
      <c r="AB204" s="63">
        <v>8</v>
      </c>
      <c r="AC204" s="63">
        <v>8</v>
      </c>
      <c r="AD204" s="63">
        <v>8</v>
      </c>
      <c r="AE204" s="63">
        <v>8</v>
      </c>
      <c r="AF204" s="8">
        <v>8</v>
      </c>
      <c r="AG204" s="8">
        <v>8</v>
      </c>
      <c r="AH204" s="8">
        <v>8</v>
      </c>
      <c r="AI204" s="8">
        <v>8</v>
      </c>
      <c r="AJ204" s="8">
        <v>8</v>
      </c>
      <c r="AK204" s="1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4EB4C-C7FA-1E1C-59FB-4810642B974D}">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1" hidden="1"/>
    <col min="5" max="5" width="9.140625" style="33" hidden="1" customWidth="1"/>
    <col min="6" max="7" width="9.1406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5703125" style="11" hidden="1"/>
  </cols>
  <sheetData>
    <row r="1" spans="1:23" ht="22.5" hidden="1" customHeight="1">
      <c r="S1" s="150"/>
      <c r="T1" s="150"/>
      <c r="V1" s="150"/>
      <c r="W1" s="11" t="s">
        <v>14</v>
      </c>
    </row>
    <row r="2" spans="1:23" ht="22.5" hidden="1" customHeight="1">
      <c r="B2" s="1086" t="s">
        <v>691</v>
      </c>
      <c r="C2" s="1086" t="s">
        <v>692</v>
      </c>
      <c r="D2" s="1085" t="s">
        <v>631</v>
      </c>
      <c r="E2" s="1088">
        <f>I2-3</f>
        <v>-3</v>
      </c>
      <c r="F2" s="1088">
        <f>J2</f>
        <v>0</v>
      </c>
      <c r="H2" s="939" t="s">
        <v>104</v>
      </c>
      <c r="I2" s="64"/>
      <c r="J2" s="497"/>
      <c r="K2" s="399" t="s">
        <v>310</v>
      </c>
      <c r="L2" s="117"/>
      <c r="M2" s="114"/>
      <c r="N2" s="69"/>
      <c r="P2" s="11"/>
      <c r="W2" s="11">
        <v>0</v>
      </c>
    </row>
    <row r="3" spans="1:23" ht="14.25" hidden="1" customHeight="1">
      <c r="W3" s="11">
        <v>0</v>
      </c>
    </row>
    <row r="4" spans="1:23" ht="6.4" customHeight="1">
      <c r="H4" s="28"/>
      <c r="I4" s="10"/>
      <c r="J4" s="10"/>
      <c r="K4" s="10"/>
      <c r="L4" s="20"/>
      <c r="M4" s="20"/>
      <c r="W4" s="11">
        <v>6</v>
      </c>
    </row>
    <row r="5" spans="1:23" ht="50.25" customHeight="1">
      <c r="H5" s="28"/>
      <c r="I5" s="1256" t="s">
        <v>693</v>
      </c>
      <c r="J5" s="1256"/>
      <c r="K5" s="1256"/>
      <c r="L5" s="1256"/>
      <c r="M5" s="156"/>
      <c r="W5" s="11">
        <v>48</v>
      </c>
    </row>
    <row r="6" spans="1:23" ht="18" customHeight="1">
      <c r="H6" s="28"/>
      <c r="I6" s="1229" t="str">
        <f>IF(org=0,"Не определено",org)</f>
        <v>ООО "Инженерные сети"</v>
      </c>
      <c r="J6" s="1229"/>
      <c r="K6" s="1229"/>
      <c r="L6" s="1229"/>
      <c r="M6" s="156"/>
      <c r="W6" s="11">
        <v>17</v>
      </c>
    </row>
    <row r="7" spans="1:23" ht="14.65" customHeight="1">
      <c r="H7" s="28"/>
      <c r="I7" s="10"/>
      <c r="J7" s="14"/>
      <c r="K7" s="14"/>
      <c r="L7" s="435"/>
      <c r="M7" s="101"/>
      <c r="W7" s="11">
        <v>14</v>
      </c>
    </row>
    <row r="8" spans="1:23" ht="14.65" customHeight="1">
      <c r="H8" s="28"/>
      <c r="I8" s="1376" t="s">
        <v>304</v>
      </c>
      <c r="J8" s="1377"/>
      <c r="K8" s="1377"/>
      <c r="L8" s="1378"/>
      <c r="M8" s="1379" t="s">
        <v>305</v>
      </c>
      <c r="W8" s="11">
        <v>14</v>
      </c>
    </row>
    <row r="9" spans="1:23" ht="35.65" customHeight="1">
      <c r="E9" s="1084" t="s">
        <v>622</v>
      </c>
      <c r="F9" s="1084" t="s">
        <v>628</v>
      </c>
      <c r="H9" s="28"/>
      <c r="I9" s="36" t="s">
        <v>88</v>
      </c>
      <c r="J9" s="39" t="s">
        <v>306</v>
      </c>
      <c r="K9" s="239" t="s">
        <v>570</v>
      </c>
      <c r="L9" s="39" t="s">
        <v>307</v>
      </c>
      <c r="M9" s="1379"/>
      <c r="W9" s="11">
        <v>34</v>
      </c>
    </row>
    <row r="10" spans="1:23" ht="35.65" customHeight="1">
      <c r="B10" s="1086" t="s">
        <v>694</v>
      </c>
      <c r="C10" s="1086" t="s">
        <v>695</v>
      </c>
      <c r="D10" s="1085" t="s">
        <v>631</v>
      </c>
      <c r="E10" s="1088" t="s">
        <v>632</v>
      </c>
      <c r="F10" s="1088" t="s">
        <v>632</v>
      </c>
      <c r="H10" s="28"/>
      <c r="I10" s="64" t="s">
        <v>115</v>
      </c>
      <c r="J10" s="1017" t="s">
        <v>696</v>
      </c>
      <c r="K10" s="399" t="s">
        <v>310</v>
      </c>
      <c r="L10" s="228"/>
      <c r="M10" s="114" t="s">
        <v>697</v>
      </c>
      <c r="W10" s="11">
        <v>34</v>
      </c>
    </row>
    <row r="11" spans="1:23" ht="50.25" customHeight="1">
      <c r="B11" s="1086" t="s">
        <v>698</v>
      </c>
      <c r="C11" s="1086" t="s">
        <v>699</v>
      </c>
      <c r="D11" s="1085" t="s">
        <v>631</v>
      </c>
      <c r="E11" s="1088" t="s">
        <v>632</v>
      </c>
      <c r="F11" s="1088" t="s">
        <v>632</v>
      </c>
      <c r="H11" s="28"/>
      <c r="I11" s="64" t="s">
        <v>103</v>
      </c>
      <c r="J11" s="1017" t="s">
        <v>700</v>
      </c>
      <c r="K11" s="399" t="s">
        <v>310</v>
      </c>
      <c r="L11" s="228"/>
      <c r="M11" s="114" t="s">
        <v>697</v>
      </c>
      <c r="W11" s="11">
        <v>48</v>
      </c>
    </row>
    <row r="12" spans="1:23" ht="48.2" customHeight="1">
      <c r="B12" s="1086" t="s">
        <v>701</v>
      </c>
      <c r="C12" s="1086" t="s">
        <v>702</v>
      </c>
      <c r="D12" s="1085" t="s">
        <v>631</v>
      </c>
      <c r="E12" s="1088" t="s">
        <v>632</v>
      </c>
      <c r="F12" s="1088" t="s">
        <v>632</v>
      </c>
      <c r="H12" s="23"/>
      <c r="I12" s="64" t="s">
        <v>90</v>
      </c>
      <c r="J12" s="123" t="s">
        <v>703</v>
      </c>
      <c r="K12" s="399" t="s">
        <v>310</v>
      </c>
      <c r="L12" s="228"/>
      <c r="M12" s="114" t="s">
        <v>704</v>
      </c>
      <c r="N12" s="69"/>
      <c r="P12" s="11"/>
      <c r="W12" s="11">
        <v>46</v>
      </c>
    </row>
    <row r="13" spans="1:23" ht="14.65" customHeight="1">
      <c r="E13" s="34"/>
      <c r="H13" s="28"/>
      <c r="I13" s="40"/>
      <c r="J13" s="52" t="s">
        <v>705</v>
      </c>
      <c r="K13" s="111"/>
      <c r="L13" s="108"/>
      <c r="M13" s="114"/>
      <c r="W13" s="11">
        <v>14</v>
      </c>
    </row>
    <row r="14" spans="1:23" ht="14.65" customHeight="1">
      <c r="E14" s="34"/>
      <c r="H14" s="28"/>
      <c r="I14" s="225"/>
      <c r="J14" s="902"/>
      <c r="K14" s="903"/>
      <c r="L14" s="904"/>
      <c r="M14" s="373"/>
      <c r="W14" s="11">
        <v>14</v>
      </c>
    </row>
    <row r="15" spans="1:23" ht="14.65" customHeight="1">
      <c r="I15" s="198"/>
      <c r="J15" s="1274"/>
      <c r="K15" s="1274"/>
      <c r="L15" s="1274"/>
      <c r="M15" s="1274"/>
      <c r="W15" s="11">
        <v>14</v>
      </c>
    </row>
    <row r="16" spans="1:23" ht="21" hidden="1" customHeight="1">
      <c r="A16" s="33" t="s">
        <v>82</v>
      </c>
      <c r="B16" s="11">
        <v>9</v>
      </c>
      <c r="C16" s="11">
        <v>9</v>
      </c>
      <c r="D16" s="11">
        <v>9</v>
      </c>
      <c r="E16" s="33" t="s">
        <v>154</v>
      </c>
      <c r="F16" s="33" t="s">
        <v>154</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4A0D6-A033-4B0D-A85B-1F6419DDAEB3}">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10.42578125" style="11" hidden="1" customWidth="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556</v>
      </c>
      <c r="H2" s="306"/>
      <c r="I2" s="306"/>
      <c r="J2" s="307" t="s">
        <v>706</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45" customHeight="1">
      <c r="AF5" s="11">
        <v>11</v>
      </c>
    </row>
    <row r="6" spans="1:32" ht="31.5" customHeight="1">
      <c r="E6" s="1206" t="s">
        <v>707</v>
      </c>
      <c r="F6" s="1206"/>
      <c r="G6" s="1206"/>
      <c r="H6" s="1206"/>
      <c r="I6" s="1206"/>
      <c r="J6" s="59"/>
      <c r="AF6" s="11">
        <v>30</v>
      </c>
    </row>
    <row r="7" spans="1:32" ht="11.45" customHeight="1">
      <c r="E7" s="1229" t="str">
        <f>IF(org=0,"Не определено",org)</f>
        <v>ООО "Инженерные сети"</v>
      </c>
      <c r="F7" s="1229"/>
      <c r="G7" s="1229"/>
      <c r="H7" s="1229"/>
      <c r="I7" s="1229"/>
      <c r="AF7" s="11">
        <v>11</v>
      </c>
    </row>
    <row r="8" spans="1:32" ht="11.45" customHeight="1">
      <c r="E8" s="668"/>
      <c r="F8" s="668"/>
      <c r="G8" s="668"/>
      <c r="H8" s="668"/>
      <c r="I8" s="668"/>
      <c r="AF8" s="11">
        <v>11</v>
      </c>
    </row>
    <row r="9" spans="1:32" s="68" customFormat="1" ht="4.1500000000000004" customHeight="1">
      <c r="A9" s="313"/>
      <c r="H9" s="514"/>
      <c r="I9" s="514" t="s">
        <v>122</v>
      </c>
      <c r="AF9" s="68">
        <v>4</v>
      </c>
    </row>
    <row r="10" spans="1:32" ht="11.45" customHeight="1">
      <c r="E10" s="409"/>
      <c r="F10" s="1362" t="s">
        <v>111</v>
      </c>
      <c r="G10" s="1363"/>
      <c r="H10" s="858" t="str">
        <f>IF(H9="","",INDEX(DIFFERENTIATION_UNMERGE_VD,MATCH(H9,DIFFERENTIATION_ID_DIFF,0)))</f>
        <v/>
      </c>
      <c r="I10" s="858" t="str">
        <f>IF(I9="","",INDEX(DIFFERENTIATION_UNMERGE_VD,MATCH(I9,DIFFERENTIATION_ID_DIFF,0)))</f>
        <v>Производство тепловой энергии. Некомбинированная выработка</v>
      </c>
      <c r="J10" s="1148"/>
      <c r="AF10" s="11">
        <v>11</v>
      </c>
    </row>
    <row r="11" spans="1:32" ht="11.45" customHeight="1">
      <c r="E11" s="409"/>
      <c r="F11" s="1362" t="s">
        <v>568</v>
      </c>
      <c r="G11" s="1363"/>
      <c r="H11" s="858" t="str">
        <f>IF(H9="","",INDEX(DIFFERENTIATION_UNMERGE_AREA,MATCH(H9,DIFFERENTIATION_ID_DIFF,0)))</f>
        <v/>
      </c>
      <c r="I11" s="858" t="str">
        <f>IF(I9="","",INDEX(DIFFERENTIATION_UNMERGE_AREA,MATCH(I9,DIFFERENTIATION_ID_DIFF,0)))</f>
        <v>Территория 1</v>
      </c>
      <c r="J11" s="1148"/>
      <c r="AF11" s="11">
        <v>11</v>
      </c>
    </row>
    <row r="12" spans="1:32" ht="1.1499999999999999" customHeight="1">
      <c r="E12" s="896"/>
      <c r="F12" s="1380" t="s">
        <v>569</v>
      </c>
      <c r="G12" s="1381"/>
      <c r="H12" s="897" t="str">
        <f>IF(H9="","",INDEX(DIFFERENTIATION_UNMERGE_SYSTEM,MATCH(H9,DIFFERENTIATION_ID_DIFF,0)))</f>
        <v/>
      </c>
      <c r="I12" s="897" t="str">
        <f>IF(I9="","",INDEX(DIFFERENTIATION_UNMERGE_SYSTEM,MATCH(I9,DIFFERENTIATION_ID_DIFF,0)))</f>
        <v>без дифференциации</v>
      </c>
      <c r="J12" s="1148"/>
      <c r="AF12" s="11">
        <v>1</v>
      </c>
    </row>
    <row r="13" spans="1:32" ht="11.45" customHeight="1">
      <c r="E13" s="1364" t="s">
        <v>304</v>
      </c>
      <c r="F13" s="1365"/>
      <c r="G13" s="1365"/>
      <c r="H13" s="512"/>
      <c r="I13" s="512"/>
      <c r="J13" s="1148"/>
      <c r="AF13" s="11">
        <v>11</v>
      </c>
    </row>
    <row r="14" spans="1:32" ht="24" customHeight="1">
      <c r="E14" s="41" t="s">
        <v>88</v>
      </c>
      <c r="F14" s="41" t="s">
        <v>306</v>
      </c>
      <c r="G14" s="41" t="s">
        <v>570</v>
      </c>
      <c r="H14" s="41" t="s">
        <v>307</v>
      </c>
      <c r="I14" s="41" t="s">
        <v>307</v>
      </c>
      <c r="J14" s="1148"/>
      <c r="AF14" s="11">
        <v>23</v>
      </c>
    </row>
    <row r="15" spans="1:32" ht="19.899999999999999" customHeight="1">
      <c r="D15" s="55"/>
      <c r="E15" s="894" t="s">
        <v>115</v>
      </c>
      <c r="F15" s="153" t="s">
        <v>708</v>
      </c>
      <c r="G15" s="41" t="s">
        <v>556</v>
      </c>
      <c r="H15" s="321"/>
      <c r="I15" s="321"/>
      <c r="J15" s="67" t="s">
        <v>709</v>
      </c>
      <c r="K15" s="308" t="s">
        <v>634</v>
      </c>
      <c r="AF15" s="11">
        <v>19</v>
      </c>
    </row>
    <row r="16" spans="1:32" ht="35.65" customHeight="1">
      <c r="D16" s="55"/>
      <c r="E16" s="894" t="s">
        <v>103</v>
      </c>
      <c r="F16" s="153" t="s">
        <v>710</v>
      </c>
      <c r="G16" s="41" t="s">
        <v>556</v>
      </c>
      <c r="H16" s="322">
        <f>SUM(H17,H20:H32)</f>
        <v>0</v>
      </c>
      <c r="I16" s="322">
        <f>SUM(I17,I20,I23,I26,I29:I32)</f>
        <v>0</v>
      </c>
      <c r="J16" s="67" t="s">
        <v>711</v>
      </c>
      <c r="K16" s="308" t="s">
        <v>634</v>
      </c>
      <c r="AF16" s="11">
        <v>34</v>
      </c>
    </row>
    <row r="17" spans="1:32" ht="19.899999999999999" customHeight="1">
      <c r="D17" s="55"/>
      <c r="E17" s="898" t="s">
        <v>712</v>
      </c>
      <c r="F17" s="323" t="s">
        <v>713</v>
      </c>
      <c r="G17" s="395" t="s">
        <v>556</v>
      </c>
      <c r="H17" s="321"/>
      <c r="I17" s="321"/>
      <c r="J17" s="67" t="s">
        <v>714</v>
      </c>
      <c r="K17" s="308"/>
      <c r="AF17" s="11">
        <v>19</v>
      </c>
    </row>
    <row r="18" spans="1:32" ht="24" customHeight="1">
      <c r="D18" s="55"/>
      <c r="E18" s="898" t="s">
        <v>715</v>
      </c>
      <c r="F18" s="338" t="s">
        <v>716</v>
      </c>
      <c r="G18" s="395" t="s">
        <v>556</v>
      </c>
      <c r="H18" s="321"/>
      <c r="I18" s="321"/>
      <c r="J18" s="67" t="s">
        <v>717</v>
      </c>
      <c r="K18" s="308"/>
      <c r="AF18" s="11">
        <v>23</v>
      </c>
    </row>
    <row r="19" spans="1:32" ht="35.65" customHeight="1">
      <c r="D19" s="55"/>
      <c r="E19" s="898" t="s">
        <v>718</v>
      </c>
      <c r="F19" s="338" t="s">
        <v>719</v>
      </c>
      <c r="G19" s="395" t="s">
        <v>556</v>
      </c>
      <c r="H19" s="321"/>
      <c r="I19" s="321"/>
      <c r="J19" s="67"/>
      <c r="K19" s="308"/>
      <c r="AF19" s="11">
        <v>34</v>
      </c>
    </row>
    <row r="20" spans="1:32" ht="19.899999999999999" customHeight="1">
      <c r="D20" s="55"/>
      <c r="E20" s="898" t="s">
        <v>311</v>
      </c>
      <c r="F20" s="323" t="s">
        <v>720</v>
      </c>
      <c r="G20" s="395" t="s">
        <v>556</v>
      </c>
      <c r="H20" s="321"/>
      <c r="I20" s="321"/>
      <c r="J20" s="67" t="s">
        <v>721</v>
      </c>
      <c r="K20" s="308"/>
      <c r="AF20" s="11">
        <v>19</v>
      </c>
    </row>
    <row r="21" spans="1:32" ht="19.899999999999999" customHeight="1">
      <c r="D21" s="55"/>
      <c r="E21" s="898" t="s">
        <v>722</v>
      </c>
      <c r="F21" s="338" t="s">
        <v>723</v>
      </c>
      <c r="G21" s="395" t="s">
        <v>556</v>
      </c>
      <c r="H21" s="321"/>
      <c r="I21" s="321"/>
      <c r="J21" s="67"/>
      <c r="K21" s="308"/>
      <c r="AF21" s="11">
        <v>19</v>
      </c>
    </row>
    <row r="22" spans="1:32" ht="19.899999999999999" customHeight="1">
      <c r="D22" s="55"/>
      <c r="E22" s="898" t="s">
        <v>724</v>
      </c>
      <c r="F22" s="338" t="s">
        <v>725</v>
      </c>
      <c r="G22" s="395" t="s">
        <v>556</v>
      </c>
      <c r="H22" s="321"/>
      <c r="I22" s="321"/>
      <c r="J22" s="67"/>
      <c r="K22" s="308"/>
      <c r="AF22" s="11">
        <v>19</v>
      </c>
    </row>
    <row r="23" spans="1:32" ht="24" customHeight="1">
      <c r="D23" s="55"/>
      <c r="E23" s="898" t="s">
        <v>314</v>
      </c>
      <c r="F23" s="323" t="s">
        <v>726</v>
      </c>
      <c r="G23" s="395" t="s">
        <v>556</v>
      </c>
      <c r="H23" s="321"/>
      <c r="I23" s="321"/>
      <c r="J23" s="67" t="s">
        <v>727</v>
      </c>
      <c r="K23" s="308"/>
      <c r="AF23" s="11">
        <v>23</v>
      </c>
    </row>
    <row r="24" spans="1:32" ht="19.899999999999999" customHeight="1">
      <c r="D24" s="55"/>
      <c r="E24" s="898" t="s">
        <v>728</v>
      </c>
      <c r="F24" s="338" t="s">
        <v>729</v>
      </c>
      <c r="G24" s="395" t="s">
        <v>556</v>
      </c>
      <c r="H24" s="321"/>
      <c r="I24" s="321"/>
      <c r="J24" s="67"/>
      <c r="K24" s="308"/>
      <c r="AF24" s="11">
        <v>19</v>
      </c>
    </row>
    <row r="25" spans="1:32" ht="35.65" customHeight="1">
      <c r="D25" s="55"/>
      <c r="E25" s="898" t="s">
        <v>730</v>
      </c>
      <c r="F25" s="338" t="s">
        <v>731</v>
      </c>
      <c r="G25" s="395" t="s">
        <v>556</v>
      </c>
      <c r="H25" s="321"/>
      <c r="I25" s="321"/>
      <c r="J25" s="67"/>
      <c r="K25" s="308"/>
      <c r="AF25" s="11">
        <v>34</v>
      </c>
    </row>
    <row r="26" spans="1:32" ht="24" customHeight="1">
      <c r="D26" s="55"/>
      <c r="E26" s="898" t="s">
        <v>732</v>
      </c>
      <c r="F26" s="323" t="s">
        <v>733</v>
      </c>
      <c r="G26" s="395" t="s">
        <v>556</v>
      </c>
      <c r="H26" s="321"/>
      <c r="I26" s="321"/>
      <c r="J26" s="67" t="s">
        <v>734</v>
      </c>
      <c r="K26" s="308"/>
      <c r="AF26" s="11">
        <v>23</v>
      </c>
    </row>
    <row r="27" spans="1:32" ht="19.899999999999999" customHeight="1">
      <c r="D27" s="55"/>
      <c r="E27" s="900" t="s">
        <v>735</v>
      </c>
      <c r="F27" s="338" t="s">
        <v>736</v>
      </c>
      <c r="G27" s="395" t="s">
        <v>556</v>
      </c>
      <c r="H27" s="901"/>
      <c r="I27" s="901"/>
      <c r="J27" s="67"/>
      <c r="K27" s="308"/>
      <c r="AF27" s="11">
        <v>19</v>
      </c>
    </row>
    <row r="28" spans="1:32" ht="19.899999999999999" customHeight="1">
      <c r="D28" s="55"/>
      <c r="E28" s="900" t="s">
        <v>737</v>
      </c>
      <c r="F28" s="338" t="s">
        <v>738</v>
      </c>
      <c r="G28" s="395" t="s">
        <v>556</v>
      </c>
      <c r="H28" s="901"/>
      <c r="I28" s="901"/>
      <c r="J28" s="67"/>
      <c r="K28" s="308"/>
      <c r="AF28" s="11">
        <v>19</v>
      </c>
    </row>
    <row r="29" spans="1:32" ht="19.899999999999999" customHeight="1">
      <c r="D29" s="55"/>
      <c r="E29" s="900" t="s">
        <v>739</v>
      </c>
      <c r="F29" s="323" t="s">
        <v>740</v>
      </c>
      <c r="G29" s="395" t="s">
        <v>556</v>
      </c>
      <c r="H29" s="901"/>
      <c r="I29" s="901"/>
      <c r="J29" s="67"/>
      <c r="K29" s="308"/>
      <c r="AF29" s="11">
        <v>19</v>
      </c>
    </row>
    <row r="30" spans="1:32" ht="19.899999999999999" customHeight="1">
      <c r="D30" s="55"/>
      <c r="E30" s="900" t="s">
        <v>741</v>
      </c>
      <c r="F30" s="323" t="s">
        <v>742</v>
      </c>
      <c r="G30" s="395" t="s">
        <v>556</v>
      </c>
      <c r="H30" s="901"/>
      <c r="I30" s="901"/>
      <c r="J30" s="67"/>
      <c r="K30" s="308"/>
      <c r="AF30" s="11">
        <v>19</v>
      </c>
    </row>
    <row r="31" spans="1:32" ht="19.899999999999999" customHeight="1">
      <c r="D31" s="55"/>
      <c r="E31" s="900" t="s">
        <v>743</v>
      </c>
      <c r="F31" s="323" t="s">
        <v>744</v>
      </c>
      <c r="G31" s="395" t="s">
        <v>556</v>
      </c>
      <c r="H31" s="901"/>
      <c r="I31" s="901"/>
      <c r="J31" s="67"/>
      <c r="K31" s="308"/>
      <c r="AF31" s="11">
        <v>19</v>
      </c>
    </row>
    <row r="32" spans="1:32" s="63" customFormat="1" ht="35.65" customHeight="1">
      <c r="A32" s="572"/>
      <c r="C32" s="68"/>
      <c r="D32" s="55"/>
      <c r="E32" s="900" t="s">
        <v>745</v>
      </c>
      <c r="F32" s="323" t="s">
        <v>746</v>
      </c>
      <c r="G32" s="340" t="s">
        <v>556</v>
      </c>
      <c r="H32" s="341">
        <f>SUM(H33:H34)</f>
        <v>0</v>
      </c>
      <c r="I32" s="341">
        <f>SUM(I33:I34)</f>
        <v>0</v>
      </c>
      <c r="J32" s="67" t="s">
        <v>747</v>
      </c>
      <c r="K32" s="308"/>
      <c r="L32" s="68"/>
      <c r="M32" s="68"/>
      <c r="R32" s="68"/>
      <c r="U32" s="309"/>
      <c r="AA32" s="8"/>
      <c r="AB32" s="8"/>
      <c r="AC32" s="8"/>
      <c r="AD32" s="8"/>
      <c r="AE32" s="8"/>
      <c r="AF32" s="63">
        <v>34</v>
      </c>
    </row>
    <row r="33" spans="1:32" s="68" customFormat="1" ht="1.1499999999999999" customHeight="1">
      <c r="A33" s="313"/>
      <c r="D33" s="313"/>
      <c r="E33" s="316" t="str">
        <f>E32&amp;".0"</f>
        <v>2.8.0</v>
      </c>
      <c r="F33" s="576"/>
      <c r="G33" s="316"/>
      <c r="H33" s="577"/>
      <c r="I33" s="577"/>
      <c r="J33" s="578"/>
      <c r="AF33" s="68">
        <v>1</v>
      </c>
    </row>
    <row r="34" spans="1:32" s="63" customFormat="1" ht="19.899999999999999" customHeight="1">
      <c r="A34" s="572"/>
      <c r="C34" s="68"/>
      <c r="D34" s="77"/>
      <c r="E34" s="333"/>
      <c r="F34" s="899" t="s">
        <v>581</v>
      </c>
      <c r="G34" s="334"/>
      <c r="H34" s="335"/>
      <c r="I34" s="335"/>
      <c r="J34" s="172" t="s">
        <v>748</v>
      </c>
      <c r="K34" s="308"/>
      <c r="L34" s="68"/>
      <c r="M34" s="68"/>
      <c r="R34" s="68"/>
      <c r="U34" s="309"/>
      <c r="AA34" s="8"/>
      <c r="AB34" s="8"/>
      <c r="AC34" s="8"/>
      <c r="AD34" s="8"/>
      <c r="AE34" s="8"/>
      <c r="AF34" s="63">
        <v>19</v>
      </c>
    </row>
    <row r="35" spans="1:32" ht="60" customHeight="1">
      <c r="D35" s="55"/>
      <c r="E35" s="900" t="s">
        <v>749</v>
      </c>
      <c r="F35" s="323" t="s">
        <v>750</v>
      </c>
      <c r="G35" s="395" t="s">
        <v>556</v>
      </c>
      <c r="H35" s="901"/>
      <c r="I35" s="901"/>
      <c r="J35" s="67" t="s">
        <v>751</v>
      </c>
      <c r="K35" s="308"/>
      <c r="AF35" s="11">
        <v>57</v>
      </c>
    </row>
    <row r="36" spans="1:32" s="63" customFormat="1" ht="24" customHeight="1">
      <c r="A36" s="574" t="s">
        <v>582</v>
      </c>
      <c r="C36" s="68"/>
      <c r="D36" s="55"/>
      <c r="E36" s="898" t="s">
        <v>90</v>
      </c>
      <c r="F36" s="153" t="s">
        <v>752</v>
      </c>
      <c r="G36" s="395" t="s">
        <v>556</v>
      </c>
      <c r="H36" s="321"/>
      <c r="I36" s="321"/>
      <c r="J36" s="67" t="s">
        <v>753</v>
      </c>
      <c r="K36" s="308"/>
      <c r="L36" s="68"/>
      <c r="M36" s="68"/>
      <c r="R36" s="68"/>
      <c r="U36" s="309"/>
      <c r="AA36" s="8"/>
      <c r="AB36" s="8"/>
      <c r="AC36" s="8"/>
      <c r="AD36" s="8"/>
      <c r="AE36" s="8"/>
      <c r="AF36" s="63">
        <v>23</v>
      </c>
    </row>
    <row r="37" spans="1:32" s="63" customFormat="1" ht="35.65" customHeight="1">
      <c r="A37" s="574"/>
      <c r="C37" s="68"/>
      <c r="D37" s="55"/>
      <c r="E37" s="898" t="s">
        <v>328</v>
      </c>
      <c r="F37" s="323" t="s">
        <v>754</v>
      </c>
      <c r="G37" s="395"/>
      <c r="H37" s="321"/>
      <c r="I37" s="321"/>
      <c r="J37" s="67"/>
      <c r="K37" s="308"/>
      <c r="L37" s="68"/>
      <c r="M37" s="68"/>
      <c r="R37" s="68"/>
      <c r="U37" s="309"/>
      <c r="AA37" s="8"/>
      <c r="AB37" s="8"/>
      <c r="AC37" s="8"/>
      <c r="AD37" s="8"/>
      <c r="AE37" s="8"/>
      <c r="AF37" s="63">
        <v>34</v>
      </c>
    </row>
    <row r="38" spans="1:32" s="63" customFormat="1" ht="19.899999999999999" customHeight="1">
      <c r="A38" s="572"/>
      <c r="C38" s="68"/>
      <c r="D38" s="337"/>
      <c r="E38" s="898" t="s">
        <v>91</v>
      </c>
      <c r="F38" s="153" t="s">
        <v>755</v>
      </c>
      <c r="G38" s="395" t="s">
        <v>556</v>
      </c>
      <c r="H38" s="321"/>
      <c r="I38" s="321"/>
      <c r="J38" s="67" t="s">
        <v>756</v>
      </c>
      <c r="K38" s="308"/>
      <c r="L38" s="68"/>
      <c r="M38" s="68"/>
      <c r="R38" s="68"/>
      <c r="U38" s="309"/>
      <c r="AA38" s="8"/>
      <c r="AB38" s="8"/>
      <c r="AC38" s="8"/>
      <c r="AD38" s="8"/>
      <c r="AE38" s="8"/>
      <c r="AF38" s="63">
        <v>19</v>
      </c>
    </row>
    <row r="39" spans="1:32" s="63" customFormat="1" ht="24" customHeight="1">
      <c r="A39" s="572"/>
      <c r="C39" s="68"/>
      <c r="D39" s="337"/>
      <c r="E39" s="898" t="s">
        <v>757</v>
      </c>
      <c r="F39" s="323" t="s">
        <v>758</v>
      </c>
      <c r="G39" s="395" t="s">
        <v>556</v>
      </c>
      <c r="H39" s="321"/>
      <c r="I39" s="321"/>
      <c r="J39" s="67" t="s">
        <v>759</v>
      </c>
      <c r="K39" s="308"/>
      <c r="L39" s="68"/>
      <c r="M39" s="68"/>
      <c r="R39" s="68"/>
      <c r="U39" s="309"/>
      <c r="AA39" s="8"/>
      <c r="AB39" s="8"/>
      <c r="AC39" s="8"/>
      <c r="AD39" s="8"/>
      <c r="AE39" s="8"/>
      <c r="AF39" s="63">
        <v>23</v>
      </c>
    </row>
    <row r="40" spans="1:32" s="63" customFormat="1" ht="24" customHeight="1">
      <c r="A40" s="572"/>
      <c r="C40" s="68"/>
      <c r="D40" s="55"/>
      <c r="E40" s="898" t="s">
        <v>760</v>
      </c>
      <c r="F40" s="338" t="s">
        <v>761</v>
      </c>
      <c r="G40" s="395" t="s">
        <v>556</v>
      </c>
      <c r="H40" s="321"/>
      <c r="I40" s="321"/>
      <c r="J40" s="67" t="s">
        <v>762</v>
      </c>
      <c r="K40" s="308"/>
      <c r="L40" s="68"/>
      <c r="M40" s="68"/>
      <c r="R40" s="68"/>
      <c r="U40" s="309"/>
      <c r="AA40" s="8"/>
      <c r="AB40" s="8"/>
      <c r="AC40" s="8"/>
      <c r="AD40" s="8"/>
      <c r="AE40" s="8"/>
      <c r="AF40" s="63">
        <v>23</v>
      </c>
    </row>
    <row r="41" spans="1:32" s="63" customFormat="1" ht="24" customHeight="1">
      <c r="A41" s="572"/>
      <c r="C41" s="68"/>
      <c r="D41" s="55"/>
      <c r="E41" s="898" t="s">
        <v>763</v>
      </c>
      <c r="F41" s="338" t="s">
        <v>764</v>
      </c>
      <c r="G41" s="395" t="s">
        <v>556</v>
      </c>
      <c r="H41" s="321"/>
      <c r="I41" s="321"/>
      <c r="J41" s="67" t="s">
        <v>765</v>
      </c>
      <c r="K41" s="308"/>
      <c r="L41" s="68"/>
      <c r="M41" s="68"/>
      <c r="R41" s="68"/>
      <c r="U41" s="309"/>
      <c r="AA41" s="8"/>
      <c r="AB41" s="8"/>
      <c r="AC41" s="8"/>
      <c r="AD41" s="8"/>
      <c r="AE41" s="8"/>
      <c r="AF41" s="63">
        <v>23</v>
      </c>
    </row>
    <row r="42" spans="1:32" s="63" customFormat="1" ht="24" customHeight="1">
      <c r="A42" s="572"/>
      <c r="C42" s="68"/>
      <c r="D42" s="55"/>
      <c r="E42" s="898" t="s">
        <v>766</v>
      </c>
      <c r="F42" s="338" t="s">
        <v>767</v>
      </c>
      <c r="G42" s="395" t="s">
        <v>556</v>
      </c>
      <c r="H42" s="321"/>
      <c r="I42" s="321"/>
      <c r="J42" s="67" t="s">
        <v>768</v>
      </c>
      <c r="K42" s="308"/>
      <c r="L42" s="68"/>
      <c r="M42" s="68"/>
      <c r="R42" s="68"/>
      <c r="U42" s="309"/>
      <c r="AA42" s="8"/>
      <c r="AB42" s="8"/>
      <c r="AC42" s="8"/>
      <c r="AD42" s="8"/>
      <c r="AE42" s="8"/>
      <c r="AF42" s="63">
        <v>23</v>
      </c>
    </row>
    <row r="43" spans="1:32" s="63" customFormat="1" ht="35.65" customHeight="1">
      <c r="A43" s="572"/>
      <c r="C43" s="68" t="s">
        <v>592</v>
      </c>
      <c r="D43" s="55"/>
      <c r="E43" s="898" t="s">
        <v>116</v>
      </c>
      <c r="F43" s="153" t="s">
        <v>633</v>
      </c>
      <c r="G43" s="41" t="s">
        <v>769</v>
      </c>
      <c r="H43" s="228"/>
      <c r="I43" s="228"/>
      <c r="J43" s="67" t="s">
        <v>770</v>
      </c>
      <c r="K43" s="308"/>
      <c r="L43" s="68"/>
      <c r="M43" s="68"/>
      <c r="R43" s="68"/>
      <c r="U43" s="309"/>
      <c r="AA43" s="8"/>
      <c r="AB43" s="8"/>
      <c r="AC43" s="8"/>
      <c r="AD43" s="8"/>
      <c r="AE43" s="8"/>
      <c r="AF43" s="63">
        <v>34</v>
      </c>
    </row>
    <row r="44" spans="1:32" s="63" customFormat="1" ht="35.65" customHeight="1">
      <c r="A44" s="572"/>
      <c r="C44" s="68"/>
      <c r="D44" s="55"/>
      <c r="E44" s="898" t="s">
        <v>92</v>
      </c>
      <c r="F44" s="153" t="s">
        <v>771</v>
      </c>
      <c r="G44" s="395" t="s">
        <v>772</v>
      </c>
      <c r="H44" s="310"/>
      <c r="I44" s="310"/>
      <c r="J44" s="67" t="s">
        <v>773</v>
      </c>
      <c r="K44" s="308"/>
      <c r="L44" s="68"/>
      <c r="M44" s="68"/>
      <c r="R44" s="68"/>
      <c r="U44" s="309"/>
      <c r="AA44" s="8"/>
      <c r="AB44" s="8"/>
      <c r="AC44" s="8"/>
      <c r="AD44" s="8"/>
      <c r="AE44" s="8"/>
      <c r="AF44" s="63">
        <v>34</v>
      </c>
    </row>
    <row r="45" spans="1:32" s="63" customFormat="1" ht="24" customHeight="1">
      <c r="A45" s="572"/>
      <c r="C45" s="68"/>
      <c r="D45" s="55"/>
      <c r="E45" s="898" t="s">
        <v>93</v>
      </c>
      <c r="F45" s="153" t="s">
        <v>774</v>
      </c>
      <c r="G45" s="395" t="s">
        <v>775</v>
      </c>
      <c r="H45" s="310"/>
      <c r="I45" s="310"/>
      <c r="J45" s="67" t="s">
        <v>776</v>
      </c>
      <c r="K45" s="308"/>
      <c r="L45" s="68"/>
      <c r="M45" s="68"/>
      <c r="R45" s="68"/>
      <c r="U45" s="309"/>
      <c r="AA45" s="8"/>
      <c r="AB45" s="8"/>
      <c r="AC45" s="8"/>
      <c r="AD45" s="8"/>
      <c r="AE45" s="8"/>
      <c r="AF45" s="63">
        <v>23</v>
      </c>
    </row>
    <row r="46" spans="1:32" s="63" customFormat="1" ht="19.899999999999999" customHeight="1">
      <c r="A46" s="572"/>
      <c r="C46" s="68"/>
      <c r="D46" s="55"/>
      <c r="E46" s="898" t="s">
        <v>117</v>
      </c>
      <c r="F46" s="153" t="s">
        <v>777</v>
      </c>
      <c r="G46" s="395" t="s">
        <v>594</v>
      </c>
      <c r="H46" s="339"/>
      <c r="I46" s="339"/>
      <c r="J46" s="67"/>
      <c r="K46" s="308"/>
      <c r="L46" s="68"/>
      <c r="M46" s="68"/>
      <c r="R46" s="68"/>
      <c r="U46" s="309"/>
      <c r="AA46" s="8"/>
      <c r="AB46" s="8"/>
      <c r="AC46" s="8"/>
      <c r="AD46" s="8"/>
      <c r="AE46" s="8"/>
      <c r="AF46" s="63">
        <v>19</v>
      </c>
    </row>
    <row r="47" spans="1:32" ht="11.45" customHeight="1">
      <c r="D47" s="55"/>
      <c r="AF47" s="11">
        <v>11</v>
      </c>
    </row>
    <row r="48" spans="1:32" s="203" customFormat="1" ht="11.45" customHeight="1">
      <c r="A48" s="572"/>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4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45" customHeight="1">
      <c r="A50" s="572"/>
      <c r="B50" s="68"/>
      <c r="C50" s="68"/>
      <c r="H50" s="142"/>
      <c r="I50" s="142"/>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4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4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4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4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4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4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4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4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4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4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4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4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4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4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4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4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4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4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4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4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4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4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4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4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4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4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4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4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4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4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4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4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4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4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4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4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4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4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4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4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4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4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4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4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4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4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4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4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4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4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4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4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4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4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4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4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4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4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4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4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4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4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4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4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4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4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4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4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4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4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4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4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4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4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4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4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4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4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4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4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4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4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4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4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4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4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4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4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4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4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ht="11.45" customHeight="1">
      <c r="AF203" s="11">
        <v>11</v>
      </c>
    </row>
    <row r="204" spans="1:32" ht="11.45" customHeight="1">
      <c r="AF204" s="11">
        <v>11</v>
      </c>
    </row>
    <row r="205" spans="1:32" ht="11.45" customHeight="1">
      <c r="AF205" s="11">
        <v>11</v>
      </c>
    </row>
    <row r="206" spans="1:32" ht="11.4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4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4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4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45" customHeight="1">
      <c r="A210" s="575"/>
      <c r="B210" s="11"/>
      <c r="K210" s="11"/>
      <c r="N210" s="11"/>
      <c r="O210" s="11"/>
      <c r="P210" s="11"/>
      <c r="Q210" s="11"/>
      <c r="S210" s="11"/>
      <c r="T210" s="11"/>
      <c r="U210" s="11"/>
      <c r="V210" s="11"/>
      <c r="W210" s="11"/>
      <c r="X210" s="11"/>
      <c r="Y210" s="11"/>
      <c r="Z210" s="11"/>
      <c r="AA210" s="11"/>
      <c r="AB210" s="11"/>
      <c r="AC210" s="11"/>
      <c r="AD210" s="11"/>
      <c r="AE210" s="11"/>
      <c r="AF210" s="11">
        <v>11</v>
      </c>
    </row>
    <row r="211" spans="1:32" ht="11.45" customHeight="1">
      <c r="A211" s="575"/>
      <c r="B211" s="11"/>
      <c r="K211" s="11"/>
      <c r="N211" s="11"/>
      <c r="O211" s="11"/>
      <c r="P211" s="11"/>
      <c r="Q211" s="11"/>
      <c r="S211" s="11"/>
      <c r="T211" s="11"/>
      <c r="U211" s="11"/>
      <c r="V211" s="11"/>
      <c r="W211" s="11"/>
      <c r="X211" s="11"/>
      <c r="Y211" s="11"/>
      <c r="Z211" s="11"/>
      <c r="AA211" s="11"/>
      <c r="AB211" s="11"/>
      <c r="AC211" s="11"/>
      <c r="AD211" s="11"/>
      <c r="AE211" s="11"/>
      <c r="AF211" s="11">
        <v>11</v>
      </c>
    </row>
    <row r="212" spans="1:32" ht="11.45" customHeight="1">
      <c r="A212" s="575"/>
      <c r="B212" s="11"/>
      <c r="K212" s="11"/>
      <c r="N212" s="11"/>
      <c r="O212" s="11"/>
      <c r="P212" s="11"/>
      <c r="Q212" s="11"/>
      <c r="S212" s="11"/>
      <c r="T212" s="11"/>
      <c r="U212" s="11"/>
      <c r="V212" s="11"/>
      <c r="W212" s="11"/>
      <c r="X212" s="11"/>
      <c r="Y212" s="11"/>
      <c r="Z212" s="11"/>
      <c r="AA212" s="11"/>
      <c r="AB212" s="11"/>
      <c r="AC212" s="11"/>
      <c r="AD212" s="11"/>
      <c r="AE212" s="11"/>
      <c r="AF212" s="11">
        <v>11</v>
      </c>
    </row>
    <row r="213" spans="1:32" ht="11.45" customHeight="1">
      <c r="A213" s="575"/>
      <c r="B213" s="11"/>
      <c r="K213" s="11"/>
      <c r="N213" s="11"/>
      <c r="O213" s="11"/>
      <c r="P213" s="11"/>
      <c r="Q213" s="11"/>
      <c r="S213" s="11"/>
      <c r="T213" s="11"/>
      <c r="U213" s="11"/>
      <c r="V213" s="11"/>
      <c r="W213" s="11"/>
      <c r="X213" s="11"/>
      <c r="Y213" s="11"/>
      <c r="Z213" s="11"/>
      <c r="AA213" s="11"/>
      <c r="AB213" s="11"/>
      <c r="AC213" s="11"/>
      <c r="AD213" s="11"/>
      <c r="AE213" s="11"/>
      <c r="AF213" s="11">
        <v>11</v>
      </c>
    </row>
    <row r="214" spans="1:32" ht="11.45" customHeight="1">
      <c r="A214" s="575"/>
      <c r="B214" s="11"/>
      <c r="K214" s="11"/>
      <c r="N214" s="11"/>
      <c r="O214" s="11"/>
      <c r="P214" s="11"/>
      <c r="Q214" s="11"/>
      <c r="S214" s="11"/>
      <c r="T214" s="11"/>
      <c r="U214" s="11"/>
      <c r="V214" s="11"/>
      <c r="W214" s="11"/>
      <c r="X214" s="11"/>
      <c r="Y214" s="11"/>
      <c r="Z214" s="11"/>
      <c r="AA214" s="11"/>
      <c r="AB214" s="11"/>
      <c r="AC214" s="11"/>
      <c r="AD214" s="11"/>
      <c r="AE214" s="11"/>
      <c r="AF214" s="11">
        <v>11</v>
      </c>
    </row>
    <row r="215" spans="1:32" ht="11.45" customHeight="1">
      <c r="A215" s="575"/>
      <c r="B215" s="11"/>
      <c r="K215" s="11"/>
      <c r="N215" s="11"/>
      <c r="O215" s="11"/>
      <c r="P215" s="11"/>
      <c r="Q215" s="11"/>
      <c r="S215" s="11"/>
      <c r="T215" s="11"/>
      <c r="U215" s="11"/>
      <c r="V215" s="11"/>
      <c r="W215" s="11"/>
      <c r="X215" s="11"/>
      <c r="Y215" s="11"/>
      <c r="Z215" s="11"/>
      <c r="AA215" s="11"/>
      <c r="AB215" s="11"/>
      <c r="AC215" s="11"/>
      <c r="AD215" s="11"/>
      <c r="AE215" s="11"/>
      <c r="AF215" s="11">
        <v>11</v>
      </c>
    </row>
    <row r="216" spans="1:32" ht="11.45" customHeight="1">
      <c r="A216" s="575"/>
      <c r="B216" s="11"/>
      <c r="K216" s="11"/>
      <c r="N216" s="11"/>
      <c r="O216" s="11"/>
      <c r="P216" s="11"/>
      <c r="Q216" s="11"/>
      <c r="S216" s="11"/>
      <c r="T216" s="11"/>
      <c r="U216" s="11"/>
      <c r="V216" s="11"/>
      <c r="W216" s="11"/>
      <c r="X216" s="11"/>
      <c r="Y216" s="11"/>
      <c r="Z216" s="11"/>
      <c r="AA216" s="11"/>
      <c r="AB216" s="11"/>
      <c r="AC216" s="11"/>
      <c r="AD216" s="11"/>
      <c r="AE216" s="11"/>
      <c r="AF216" s="11">
        <v>11</v>
      </c>
    </row>
    <row r="217" spans="1:32" ht="11.25" hidden="1" customHeight="1">
      <c r="A217" s="572" t="s">
        <v>82</v>
      </c>
      <c r="B217" s="63">
        <v>0</v>
      </c>
      <c r="C217" s="68">
        <v>0</v>
      </c>
      <c r="D217" s="11">
        <v>3</v>
      </c>
      <c r="E217" s="11">
        <v>7</v>
      </c>
      <c r="F217" s="11">
        <v>56</v>
      </c>
      <c r="G217" s="11">
        <v>10</v>
      </c>
      <c r="H217" s="11">
        <v>0</v>
      </c>
      <c r="I217" s="11">
        <v>40</v>
      </c>
      <c r="J217" s="11">
        <v>102</v>
      </c>
      <c r="K217" s="63">
        <v>9</v>
      </c>
      <c r="L217" s="68">
        <v>5</v>
      </c>
      <c r="M217" s="68">
        <v>3</v>
      </c>
      <c r="N217" s="63">
        <v>3</v>
      </c>
      <c r="O217" s="63">
        <v>3</v>
      </c>
      <c r="P217" s="63">
        <v>3</v>
      </c>
      <c r="Q217" s="63">
        <v>3</v>
      </c>
      <c r="R217" s="68">
        <v>10</v>
      </c>
      <c r="S217" s="63">
        <v>34</v>
      </c>
      <c r="T217" s="63">
        <v>9</v>
      </c>
      <c r="U217" s="309">
        <v>8</v>
      </c>
      <c r="V217" s="63">
        <v>8</v>
      </c>
      <c r="W217" s="63">
        <v>8</v>
      </c>
      <c r="X217" s="63">
        <v>8</v>
      </c>
      <c r="Y217" s="63">
        <v>8</v>
      </c>
      <c r="Z217" s="63">
        <v>8</v>
      </c>
      <c r="AA217" s="8">
        <v>8</v>
      </c>
      <c r="AB217" s="8">
        <v>8</v>
      </c>
      <c r="AC217" s="8">
        <v>8</v>
      </c>
      <c r="AD217" s="8">
        <v>8</v>
      </c>
      <c r="AE217" s="8">
        <v>8</v>
      </c>
      <c r="AF217" s="1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C1302-EC61-56C1-757F-3DD905DA990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40625" style="11" hidden="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556</v>
      </c>
      <c r="H2" s="306"/>
      <c r="I2" s="306"/>
      <c r="J2" s="307" t="s">
        <v>559</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45" customHeight="1">
      <c r="AF5" s="11">
        <v>11</v>
      </c>
    </row>
    <row r="6" spans="1:32" ht="33.75" customHeight="1">
      <c r="E6" s="1256" t="s">
        <v>778</v>
      </c>
      <c r="F6" s="1256"/>
      <c r="G6" s="1256"/>
      <c r="H6" s="1256"/>
      <c r="I6" s="1256"/>
      <c r="J6" s="59"/>
      <c r="AF6" s="11">
        <v>32</v>
      </c>
    </row>
    <row r="7" spans="1:32" ht="25.15" customHeight="1">
      <c r="E7" s="1229" t="str">
        <f>IF(org=0,"Не определено",org)</f>
        <v>ООО "Инженерные сети"</v>
      </c>
      <c r="F7" s="1229"/>
      <c r="G7" s="1229"/>
      <c r="H7" s="1229"/>
      <c r="I7" s="1229"/>
      <c r="AF7" s="11">
        <v>24</v>
      </c>
    </row>
    <row r="8" spans="1:32" ht="11.45" customHeight="1">
      <c r="E8" s="668"/>
      <c r="F8" s="668"/>
      <c r="G8" s="668"/>
      <c r="H8" s="668"/>
      <c r="I8" s="668"/>
      <c r="AF8" s="11">
        <v>11</v>
      </c>
    </row>
    <row r="9" spans="1:32" s="68" customFormat="1" ht="1.1499999999999999" customHeight="1">
      <c r="A9" s="313"/>
      <c r="H9" s="514"/>
      <c r="I9" s="514" t="s">
        <v>122</v>
      </c>
      <c r="AF9" s="68">
        <v>1</v>
      </c>
    </row>
    <row r="10" spans="1:32" ht="11.45" customHeight="1">
      <c r="E10" s="409"/>
      <c r="F10" s="1362" t="s">
        <v>111</v>
      </c>
      <c r="G10" s="1363"/>
      <c r="H10" s="858" t="str">
        <f>IF(H9="","",INDEX(DIFFERENTIATION_UNMERGE_VD,MATCH(H9,DIFFERENTIATION_ID_DIFF,0)))</f>
        <v/>
      </c>
      <c r="I10" s="858" t="str">
        <f>IF(I9="","",INDEX(DIFFERENTIATION_UNMERGE_VD,MATCH(I9,DIFFERENTIATION_ID_DIFF,0)))</f>
        <v>Производство тепловой энергии. Некомбинированная выработка</v>
      </c>
      <c r="J10" s="1148"/>
      <c r="AF10" s="11">
        <v>11</v>
      </c>
    </row>
    <row r="11" spans="1:32" ht="11.45" customHeight="1">
      <c r="E11" s="409"/>
      <c r="F11" s="1362" t="s">
        <v>568</v>
      </c>
      <c r="G11" s="1363"/>
      <c r="H11" s="858" t="str">
        <f>IF(H9="","",INDEX(DIFFERENTIATION_UNMERGE_AREA,MATCH(H9,DIFFERENTIATION_ID_DIFF,0)))</f>
        <v/>
      </c>
      <c r="I11" s="858" t="str">
        <f>IF(I9="","",INDEX(DIFFERENTIATION_UNMERGE_AREA,MATCH(I9,DIFFERENTIATION_ID_DIFF,0)))</f>
        <v>Территория 1</v>
      </c>
      <c r="J11" s="1148"/>
      <c r="AF11" s="11">
        <v>11</v>
      </c>
    </row>
    <row r="12" spans="1:32" ht="11.25" hidden="1" customHeight="1">
      <c r="E12" s="896"/>
      <c r="F12" s="1380" t="s">
        <v>569</v>
      </c>
      <c r="G12" s="1381"/>
      <c r="H12" s="897" t="str">
        <f>IF(H9="","",INDEX(DIFFERENTIATION_UNMERGE_SYSTEM,MATCH(H9,DIFFERENTIATION_ID_DIFF,0)))</f>
        <v/>
      </c>
      <c r="I12" s="897" t="str">
        <f>IF(I9="","",INDEX(DIFFERENTIATION_UNMERGE_SYSTEM,MATCH(I9,DIFFERENTIATION_ID_DIFF,0)))</f>
        <v>без дифференциации</v>
      </c>
      <c r="J12" s="1148"/>
      <c r="AF12" s="11">
        <v>0</v>
      </c>
    </row>
    <row r="13" spans="1:32" ht="11.45" customHeight="1">
      <c r="E13" s="1364" t="s">
        <v>304</v>
      </c>
      <c r="F13" s="1365"/>
      <c r="G13" s="1365"/>
      <c r="H13" s="512"/>
      <c r="I13" s="512"/>
      <c r="J13" s="1148"/>
      <c r="AF13" s="11">
        <v>11</v>
      </c>
    </row>
    <row r="14" spans="1:32" ht="24" customHeight="1">
      <c r="E14" s="41" t="s">
        <v>88</v>
      </c>
      <c r="F14" s="41" t="s">
        <v>306</v>
      </c>
      <c r="G14" s="41" t="s">
        <v>570</v>
      </c>
      <c r="H14" s="41" t="s">
        <v>307</v>
      </c>
      <c r="I14" s="41" t="s">
        <v>307</v>
      </c>
      <c r="J14" s="1148"/>
      <c r="AF14" s="11">
        <v>23</v>
      </c>
    </row>
    <row r="15" spans="1:32" ht="19.899999999999999" customHeight="1">
      <c r="D15" s="55"/>
      <c r="E15" s="894" t="s">
        <v>115</v>
      </c>
      <c r="F15" s="153" t="s">
        <v>779</v>
      </c>
      <c r="G15" s="41" t="s">
        <v>556</v>
      </c>
      <c r="H15" s="321"/>
      <c r="I15" s="321"/>
      <c r="J15" s="67" t="s">
        <v>780</v>
      </c>
      <c r="K15" s="308" t="s">
        <v>634</v>
      </c>
      <c r="AF15" s="11">
        <v>19</v>
      </c>
    </row>
    <row r="16" spans="1:32" ht="24" customHeight="1">
      <c r="D16" s="55"/>
      <c r="E16" s="894" t="s">
        <v>103</v>
      </c>
      <c r="F16" s="878" t="s">
        <v>781</v>
      </c>
      <c r="G16" s="41" t="s">
        <v>556</v>
      </c>
      <c r="H16" s="322">
        <f>SUM(H17,H20:H27)</f>
        <v>0</v>
      </c>
      <c r="I16" s="322">
        <f>SUM(I17,I20:I27)</f>
        <v>0</v>
      </c>
      <c r="J16" s="67" t="s">
        <v>782</v>
      </c>
      <c r="K16" s="308" t="s">
        <v>634</v>
      </c>
      <c r="AF16" s="11">
        <v>23</v>
      </c>
    </row>
    <row r="17" spans="1:32" ht="35.65" customHeight="1">
      <c r="D17" s="55"/>
      <c r="E17" s="898" t="s">
        <v>712</v>
      </c>
      <c r="F17" s="394" t="s">
        <v>783</v>
      </c>
      <c r="G17" s="395" t="s">
        <v>556</v>
      </c>
      <c r="H17" s="321"/>
      <c r="I17" s="321"/>
      <c r="J17" s="67" t="s">
        <v>784</v>
      </c>
      <c r="K17" s="308"/>
      <c r="AF17" s="11">
        <v>34</v>
      </c>
    </row>
    <row r="18" spans="1:32" ht="19.899999999999999" customHeight="1">
      <c r="D18" s="55"/>
      <c r="E18" s="898" t="s">
        <v>715</v>
      </c>
      <c r="F18" s="716" t="s">
        <v>785</v>
      </c>
      <c r="G18" s="395" t="s">
        <v>556</v>
      </c>
      <c r="H18" s="321"/>
      <c r="I18" s="321"/>
      <c r="J18" s="67"/>
      <c r="K18" s="308"/>
      <c r="AF18" s="11">
        <v>19</v>
      </c>
    </row>
    <row r="19" spans="1:32" ht="24" customHeight="1">
      <c r="D19" s="55"/>
      <c r="E19" s="898" t="s">
        <v>718</v>
      </c>
      <c r="F19" s="716" t="s">
        <v>786</v>
      </c>
      <c r="G19" s="395" t="s">
        <v>556</v>
      </c>
      <c r="H19" s="321"/>
      <c r="I19" s="321"/>
      <c r="J19" s="67"/>
      <c r="K19" s="308"/>
      <c r="AF19" s="11">
        <v>23</v>
      </c>
    </row>
    <row r="20" spans="1:32" ht="35.65" customHeight="1">
      <c r="D20" s="55"/>
      <c r="E20" s="898" t="s">
        <v>311</v>
      </c>
      <c r="F20" s="394" t="s">
        <v>787</v>
      </c>
      <c r="G20" s="395" t="s">
        <v>556</v>
      </c>
      <c r="H20" s="321"/>
      <c r="I20" s="321"/>
      <c r="J20" s="67"/>
      <c r="K20" s="308"/>
      <c r="AF20" s="11">
        <v>34</v>
      </c>
    </row>
    <row r="21" spans="1:32" ht="48.2" customHeight="1">
      <c r="D21" s="55"/>
      <c r="E21" s="898" t="s">
        <v>314</v>
      </c>
      <c r="F21" s="394" t="s">
        <v>788</v>
      </c>
      <c r="G21" s="395" t="s">
        <v>556</v>
      </c>
      <c r="H21" s="321"/>
      <c r="I21" s="321"/>
      <c r="J21" s="67"/>
      <c r="K21" s="308"/>
      <c r="AF21" s="11">
        <v>46</v>
      </c>
    </row>
    <row r="22" spans="1:32" ht="60" customHeight="1">
      <c r="D22" s="55"/>
      <c r="E22" s="898" t="s">
        <v>732</v>
      </c>
      <c r="F22" s="394" t="s">
        <v>789</v>
      </c>
      <c r="G22" s="395" t="s">
        <v>556</v>
      </c>
      <c r="H22" s="321"/>
      <c r="I22" s="321"/>
      <c r="J22" s="67"/>
      <c r="K22" s="308"/>
      <c r="AF22" s="11">
        <v>57</v>
      </c>
    </row>
    <row r="23" spans="1:32" ht="35.65" customHeight="1">
      <c r="D23" s="55"/>
      <c r="E23" s="898" t="s">
        <v>739</v>
      </c>
      <c r="F23" s="394" t="s">
        <v>790</v>
      </c>
      <c r="G23" s="395" t="s">
        <v>556</v>
      </c>
      <c r="H23" s="321"/>
      <c r="I23" s="321"/>
      <c r="J23" s="67"/>
      <c r="K23" s="308"/>
      <c r="AF23" s="11">
        <v>34</v>
      </c>
    </row>
    <row r="24" spans="1:32" ht="35.65" customHeight="1">
      <c r="D24" s="55"/>
      <c r="E24" s="898" t="s">
        <v>741</v>
      </c>
      <c r="F24" s="394" t="s">
        <v>791</v>
      </c>
      <c r="G24" s="395" t="s">
        <v>556</v>
      </c>
      <c r="H24" s="321"/>
      <c r="I24" s="321"/>
      <c r="J24" s="67"/>
      <c r="K24" s="308"/>
      <c r="AF24" s="11">
        <v>34</v>
      </c>
    </row>
    <row r="25" spans="1:32" ht="24" customHeight="1">
      <c r="D25" s="55"/>
      <c r="E25" s="898" t="s">
        <v>743</v>
      </c>
      <c r="F25" s="394" t="s">
        <v>792</v>
      </c>
      <c r="G25" s="395" t="s">
        <v>556</v>
      </c>
      <c r="H25" s="321"/>
      <c r="I25" s="321"/>
      <c r="J25" s="67"/>
      <c r="K25" s="308"/>
      <c r="AF25" s="11">
        <v>23</v>
      </c>
    </row>
    <row r="26" spans="1:32" ht="76.5" customHeight="1">
      <c r="D26" s="55"/>
      <c r="E26" s="898" t="s">
        <v>745</v>
      </c>
      <c r="F26" s="394" t="s">
        <v>793</v>
      </c>
      <c r="G26" s="395" t="s">
        <v>556</v>
      </c>
      <c r="H26" s="321"/>
      <c r="I26" s="321"/>
      <c r="J26" s="67"/>
      <c r="K26" s="308"/>
      <c r="AF26" s="11">
        <v>73</v>
      </c>
    </row>
    <row r="27" spans="1:32" s="63" customFormat="1" ht="35.65" customHeight="1">
      <c r="A27" s="572"/>
      <c r="C27" s="68"/>
      <c r="D27" s="55"/>
      <c r="E27" s="893" t="s">
        <v>749</v>
      </c>
      <c r="F27" s="892" t="s">
        <v>794</v>
      </c>
      <c r="G27" s="340" t="s">
        <v>556</v>
      </c>
      <c r="H27" s="341">
        <f>SUM(H28:H29)</f>
        <v>0</v>
      </c>
      <c r="I27" s="341">
        <f>SUM(I28:I29)</f>
        <v>0</v>
      </c>
      <c r="J27" s="67" t="s">
        <v>747</v>
      </c>
      <c r="K27" s="308"/>
      <c r="L27" s="68"/>
      <c r="M27" s="68"/>
      <c r="R27" s="68"/>
      <c r="U27" s="309"/>
      <c r="AA27" s="8"/>
      <c r="AB27" s="8"/>
      <c r="AC27" s="8"/>
      <c r="AD27" s="8"/>
      <c r="AE27" s="8"/>
      <c r="AF27" s="63">
        <v>34</v>
      </c>
    </row>
    <row r="28" spans="1:32" s="68" customFormat="1" ht="1.1499999999999999" customHeight="1">
      <c r="A28" s="313"/>
      <c r="D28" s="313"/>
      <c r="E28" s="316" t="str">
        <f>E27&amp;".0"</f>
        <v>2.9.0</v>
      </c>
      <c r="F28" s="576"/>
      <c r="G28" s="316"/>
      <c r="H28" s="577"/>
      <c r="I28" s="577"/>
      <c r="J28" s="578"/>
      <c r="AF28" s="68">
        <v>1</v>
      </c>
    </row>
    <row r="29" spans="1:32" s="63" customFormat="1" ht="19.899999999999999" customHeight="1">
      <c r="A29" s="572"/>
      <c r="C29" s="68"/>
      <c r="D29" s="77"/>
      <c r="E29" s="333"/>
      <c r="F29" s="899" t="s">
        <v>581</v>
      </c>
      <c r="G29" s="334"/>
      <c r="H29" s="335"/>
      <c r="I29" s="335"/>
      <c r="J29" s="172" t="s">
        <v>748</v>
      </c>
      <c r="K29" s="308"/>
      <c r="L29" s="68"/>
      <c r="M29" s="68"/>
      <c r="R29" s="68"/>
      <c r="U29" s="309"/>
      <c r="AA29" s="8"/>
      <c r="AB29" s="8"/>
      <c r="AC29" s="8"/>
      <c r="AD29" s="8"/>
      <c r="AE29" s="8"/>
      <c r="AF29" s="63">
        <v>19</v>
      </c>
    </row>
    <row r="30" spans="1:32" s="63" customFormat="1" ht="24" customHeight="1">
      <c r="A30" s="572"/>
      <c r="C30" s="68"/>
      <c r="D30" s="55"/>
      <c r="E30" s="898" t="s">
        <v>90</v>
      </c>
      <c r="F30" s="397" t="s">
        <v>795</v>
      </c>
      <c r="G30" s="395" t="s">
        <v>556</v>
      </c>
      <c r="H30" s="321"/>
      <c r="I30" s="321"/>
      <c r="J30" s="67"/>
      <c r="K30" s="308"/>
      <c r="L30" s="68"/>
      <c r="M30" s="68"/>
      <c r="R30" s="68"/>
      <c r="U30" s="309"/>
      <c r="AA30" s="8"/>
      <c r="AB30" s="8"/>
      <c r="AC30" s="8"/>
      <c r="AD30" s="8"/>
      <c r="AE30" s="8"/>
      <c r="AF30" s="63">
        <v>23</v>
      </c>
    </row>
    <row r="31" spans="1:32" s="63" customFormat="1" ht="35.65" customHeight="1">
      <c r="A31" s="572"/>
      <c r="C31" s="68"/>
      <c r="D31" s="337"/>
      <c r="E31" s="898" t="s">
        <v>91</v>
      </c>
      <c r="F31" s="397" t="s">
        <v>796</v>
      </c>
      <c r="G31" s="395" t="s">
        <v>556</v>
      </c>
      <c r="H31" s="321"/>
      <c r="I31" s="321"/>
      <c r="J31" s="67" t="s">
        <v>797</v>
      </c>
      <c r="K31" s="308"/>
      <c r="L31" s="68"/>
      <c r="M31" s="68"/>
      <c r="R31" s="68"/>
      <c r="U31" s="309"/>
      <c r="AA31" s="8"/>
      <c r="AB31" s="8"/>
      <c r="AC31" s="8"/>
      <c r="AD31" s="8"/>
      <c r="AE31" s="8"/>
      <c r="AF31" s="63">
        <v>34</v>
      </c>
    </row>
    <row r="32" spans="1:32" s="63" customFormat="1" ht="24" customHeight="1">
      <c r="A32" s="572"/>
      <c r="C32" s="68"/>
      <c r="D32" s="55"/>
      <c r="E32" s="898" t="s">
        <v>757</v>
      </c>
      <c r="F32" s="394" t="s">
        <v>761</v>
      </c>
      <c r="G32" s="395" t="s">
        <v>556</v>
      </c>
      <c r="H32" s="321"/>
      <c r="I32" s="321"/>
      <c r="J32" s="67" t="s">
        <v>798</v>
      </c>
      <c r="K32" s="308"/>
      <c r="L32" s="68"/>
      <c r="M32" s="68"/>
      <c r="R32" s="68"/>
      <c r="U32" s="309"/>
      <c r="AA32" s="8"/>
      <c r="AB32" s="8"/>
      <c r="AC32" s="8"/>
      <c r="AD32" s="8"/>
      <c r="AE32" s="8"/>
      <c r="AF32" s="63">
        <v>23</v>
      </c>
    </row>
    <row r="33" spans="1:32" s="63" customFormat="1" ht="24" customHeight="1">
      <c r="A33" s="572"/>
      <c r="C33" s="68"/>
      <c r="D33" s="55"/>
      <c r="E33" s="898" t="s">
        <v>799</v>
      </c>
      <c r="F33" s="394" t="s">
        <v>800</v>
      </c>
      <c r="G33" s="395" t="s">
        <v>556</v>
      </c>
      <c r="H33" s="321"/>
      <c r="I33" s="321"/>
      <c r="J33" s="67" t="s">
        <v>801</v>
      </c>
      <c r="K33" s="308"/>
      <c r="L33" s="68"/>
      <c r="M33" s="68"/>
      <c r="R33" s="68"/>
      <c r="U33" s="309"/>
      <c r="AA33" s="8"/>
      <c r="AB33" s="8"/>
      <c r="AC33" s="8"/>
      <c r="AD33" s="8"/>
      <c r="AE33" s="8"/>
      <c r="AF33" s="63">
        <v>23</v>
      </c>
    </row>
    <row r="34" spans="1:32" s="63" customFormat="1" ht="24" customHeight="1">
      <c r="A34" s="572"/>
      <c r="C34" s="68"/>
      <c r="D34" s="55"/>
      <c r="E34" s="898" t="s">
        <v>802</v>
      </c>
      <c r="F34" s="394" t="s">
        <v>767</v>
      </c>
      <c r="G34" s="395" t="s">
        <v>556</v>
      </c>
      <c r="H34" s="321"/>
      <c r="I34" s="321"/>
      <c r="J34" s="67" t="s">
        <v>803</v>
      </c>
      <c r="K34" s="308"/>
      <c r="L34" s="68"/>
      <c r="M34" s="68"/>
      <c r="R34" s="68"/>
      <c r="U34" s="309"/>
      <c r="AA34" s="8"/>
      <c r="AB34" s="8"/>
      <c r="AC34" s="8"/>
      <c r="AD34" s="8"/>
      <c r="AE34" s="8"/>
      <c r="AF34" s="63">
        <v>23</v>
      </c>
    </row>
    <row r="35" spans="1:32" s="63" customFormat="1" ht="35.65" customHeight="1">
      <c r="A35" s="572"/>
      <c r="C35" s="68" t="s">
        <v>592</v>
      </c>
      <c r="D35" s="55"/>
      <c r="E35" s="898" t="s">
        <v>116</v>
      </c>
      <c r="F35" s="397" t="s">
        <v>633</v>
      </c>
      <c r="G35" s="41" t="s">
        <v>310</v>
      </c>
      <c r="H35" s="228"/>
      <c r="I35" s="228"/>
      <c r="J35" s="67" t="s">
        <v>804</v>
      </c>
      <c r="K35" s="308"/>
      <c r="L35" s="68"/>
      <c r="M35" s="68"/>
      <c r="R35" s="68"/>
      <c r="U35" s="309"/>
      <c r="AA35" s="8"/>
      <c r="AB35" s="8"/>
      <c r="AC35" s="8"/>
      <c r="AD35" s="8"/>
      <c r="AE35" s="8"/>
      <c r="AF35" s="63">
        <v>34</v>
      </c>
    </row>
    <row r="36" spans="1:32" s="63" customFormat="1" ht="35.65" customHeight="1">
      <c r="A36" s="572"/>
      <c r="C36" s="68"/>
      <c r="D36" s="55"/>
      <c r="E36" s="898" t="s">
        <v>92</v>
      </c>
      <c r="F36" s="397" t="s">
        <v>805</v>
      </c>
      <c r="G36" s="395" t="s">
        <v>772</v>
      </c>
      <c r="H36" s="310"/>
      <c r="I36" s="310"/>
      <c r="J36" s="67" t="s">
        <v>773</v>
      </c>
      <c r="K36" s="308"/>
      <c r="L36" s="68"/>
      <c r="M36" s="68"/>
      <c r="R36" s="68"/>
      <c r="U36" s="309"/>
      <c r="AA36" s="8"/>
      <c r="AB36" s="8"/>
      <c r="AC36" s="8"/>
      <c r="AD36" s="8"/>
      <c r="AE36" s="8"/>
      <c r="AF36" s="63">
        <v>34</v>
      </c>
    </row>
    <row r="37" spans="1:32" s="63" customFormat="1" ht="24" customHeight="1">
      <c r="A37" s="572"/>
      <c r="C37" s="68"/>
      <c r="D37" s="55"/>
      <c r="E37" s="898" t="s">
        <v>93</v>
      </c>
      <c r="F37" s="397" t="s">
        <v>806</v>
      </c>
      <c r="G37" s="395" t="s">
        <v>775</v>
      </c>
      <c r="H37" s="310"/>
      <c r="I37" s="310"/>
      <c r="J37" s="67" t="s">
        <v>776</v>
      </c>
      <c r="K37" s="308"/>
      <c r="L37" s="68"/>
      <c r="M37" s="68"/>
      <c r="R37" s="68"/>
      <c r="U37" s="309"/>
      <c r="AA37" s="8"/>
      <c r="AB37" s="8"/>
      <c r="AC37" s="8"/>
      <c r="AD37" s="8"/>
      <c r="AE37" s="8"/>
      <c r="AF37" s="63">
        <v>23</v>
      </c>
    </row>
    <row r="38" spans="1:32" ht="11.45" customHeight="1">
      <c r="D38" s="55"/>
      <c r="AF38" s="11">
        <v>11</v>
      </c>
    </row>
    <row r="39" spans="1:32" ht="27.4" customHeight="1">
      <c r="D39" s="55"/>
      <c r="E39" s="198" t="s">
        <v>807</v>
      </c>
      <c r="F39" s="1274" t="s">
        <v>808</v>
      </c>
      <c r="G39" s="1274"/>
      <c r="H39" s="4"/>
      <c r="I39" s="4"/>
      <c r="J39" s="4"/>
      <c r="AF39" s="11">
        <v>26</v>
      </c>
    </row>
    <row r="40" spans="1:32" s="203" customFormat="1" ht="39.75" customHeight="1">
      <c r="A40" s="572"/>
      <c r="B40" s="68"/>
      <c r="C40" s="68"/>
      <c r="F40" s="1274" t="s">
        <v>809</v>
      </c>
      <c r="G40" s="1274"/>
      <c r="H40" s="4"/>
      <c r="I40" s="4"/>
      <c r="J40" s="4"/>
      <c r="K40" s="63"/>
      <c r="L40" s="68"/>
      <c r="M40" s="68"/>
      <c r="N40" s="63"/>
      <c r="O40" s="63"/>
      <c r="P40" s="63"/>
      <c r="Q40" s="63"/>
      <c r="R40" s="68"/>
      <c r="S40" s="63"/>
      <c r="T40" s="63"/>
      <c r="U40" s="309"/>
      <c r="V40" s="63"/>
      <c r="W40" s="63"/>
      <c r="X40" s="63"/>
      <c r="Y40" s="63"/>
      <c r="Z40" s="63"/>
      <c r="AA40" s="8"/>
      <c r="AB40" s="142"/>
      <c r="AC40" s="142"/>
      <c r="AD40" s="142"/>
      <c r="AE40" s="142"/>
      <c r="AF40" s="203">
        <v>38</v>
      </c>
    </row>
    <row r="41" spans="1:32" s="203" customFormat="1" ht="11.45" customHeight="1">
      <c r="A41" s="572"/>
      <c r="B41" s="68"/>
      <c r="C41" s="68"/>
      <c r="K41" s="63"/>
      <c r="L41" s="68"/>
      <c r="M41" s="68"/>
      <c r="N41" s="63"/>
      <c r="O41" s="63"/>
      <c r="P41" s="63"/>
      <c r="Q41" s="63"/>
      <c r="R41" s="68"/>
      <c r="S41" s="63"/>
      <c r="T41" s="63"/>
      <c r="U41" s="309"/>
      <c r="V41" s="63"/>
      <c r="W41" s="63"/>
      <c r="X41" s="63"/>
      <c r="Y41" s="63"/>
      <c r="Z41" s="63"/>
      <c r="AA41" s="8"/>
      <c r="AB41" s="142"/>
      <c r="AC41" s="142"/>
      <c r="AD41" s="142"/>
      <c r="AE41" s="142"/>
      <c r="AF41" s="203">
        <v>11</v>
      </c>
    </row>
    <row r="42" spans="1:32" s="203" customFormat="1" ht="11.45" customHeight="1">
      <c r="A42" s="572"/>
      <c r="B42" s="68"/>
      <c r="C42" s="68"/>
      <c r="K42" s="63"/>
      <c r="L42" s="68"/>
      <c r="M42" s="68"/>
      <c r="N42" s="63"/>
      <c r="O42" s="63"/>
      <c r="P42" s="63"/>
      <c r="Q42" s="63"/>
      <c r="R42" s="68"/>
      <c r="S42" s="63"/>
      <c r="T42" s="63"/>
      <c r="U42" s="309"/>
      <c r="V42" s="63"/>
      <c r="W42" s="63"/>
      <c r="X42" s="63"/>
      <c r="Y42" s="63"/>
      <c r="Z42" s="63"/>
      <c r="AA42" s="8"/>
      <c r="AB42" s="142"/>
      <c r="AC42" s="142"/>
      <c r="AD42" s="142"/>
      <c r="AE42" s="142"/>
      <c r="AF42" s="203">
        <v>11</v>
      </c>
    </row>
    <row r="43" spans="1:32" s="203" customFormat="1" ht="11.45" customHeight="1">
      <c r="A43" s="572"/>
      <c r="B43" s="68"/>
      <c r="C43" s="68"/>
      <c r="H43" s="142"/>
      <c r="I43" s="142"/>
      <c r="K43" s="63"/>
      <c r="L43" s="68"/>
      <c r="M43" s="68"/>
      <c r="N43" s="63"/>
      <c r="O43" s="63"/>
      <c r="P43" s="63"/>
      <c r="Q43" s="63"/>
      <c r="R43" s="68"/>
      <c r="S43" s="63"/>
      <c r="T43" s="63"/>
      <c r="U43" s="309"/>
      <c r="V43" s="63"/>
      <c r="W43" s="63"/>
      <c r="X43" s="63"/>
      <c r="Y43" s="63"/>
      <c r="Z43" s="63"/>
      <c r="AA43" s="8"/>
      <c r="AB43" s="142"/>
      <c r="AC43" s="142"/>
      <c r="AD43" s="142"/>
      <c r="AE43" s="142"/>
      <c r="AF43" s="203">
        <v>11</v>
      </c>
    </row>
    <row r="44" spans="1:32" s="203" customFormat="1" ht="11.45" customHeight="1">
      <c r="A44" s="572"/>
      <c r="B44" s="68"/>
      <c r="C44" s="68"/>
      <c r="K44" s="63"/>
      <c r="L44" s="68"/>
      <c r="M44" s="68"/>
      <c r="N44" s="63"/>
      <c r="O44" s="63"/>
      <c r="P44" s="63"/>
      <c r="Q44" s="63"/>
      <c r="R44" s="68"/>
      <c r="S44" s="63"/>
      <c r="T44" s="63"/>
      <c r="U44" s="309"/>
      <c r="V44" s="63"/>
      <c r="W44" s="63"/>
      <c r="X44" s="63"/>
      <c r="Y44" s="63"/>
      <c r="Z44" s="63"/>
      <c r="AA44" s="8"/>
      <c r="AB44" s="142"/>
      <c r="AC44" s="142"/>
      <c r="AD44" s="142"/>
      <c r="AE44" s="142"/>
      <c r="AF44" s="203">
        <v>11</v>
      </c>
    </row>
    <row r="45" spans="1:32" s="203" customFormat="1" ht="11.45" customHeight="1">
      <c r="A45" s="572"/>
      <c r="B45" s="68"/>
      <c r="C45" s="68"/>
      <c r="K45" s="63"/>
      <c r="L45" s="68"/>
      <c r="M45" s="68"/>
      <c r="N45" s="63"/>
      <c r="O45" s="63"/>
      <c r="P45" s="63"/>
      <c r="Q45" s="63"/>
      <c r="R45" s="68"/>
      <c r="S45" s="63"/>
      <c r="T45" s="63"/>
      <c r="U45" s="309"/>
      <c r="V45" s="63"/>
      <c r="W45" s="63"/>
      <c r="X45" s="63"/>
      <c r="Y45" s="63"/>
      <c r="Z45" s="63"/>
      <c r="AA45" s="8"/>
      <c r="AB45" s="142"/>
      <c r="AC45" s="142"/>
      <c r="AD45" s="142"/>
      <c r="AE45" s="142"/>
      <c r="AF45" s="203">
        <v>11</v>
      </c>
    </row>
    <row r="46" spans="1:32" s="203" customFormat="1" ht="11.45" customHeight="1">
      <c r="A46" s="572"/>
      <c r="B46" s="68"/>
      <c r="C46" s="68"/>
      <c r="K46" s="63"/>
      <c r="L46" s="68"/>
      <c r="M46" s="68"/>
      <c r="N46" s="63"/>
      <c r="O46" s="63"/>
      <c r="P46" s="63"/>
      <c r="Q46" s="63"/>
      <c r="R46" s="68"/>
      <c r="S46" s="63"/>
      <c r="T46" s="63"/>
      <c r="U46" s="309"/>
      <c r="V46" s="63"/>
      <c r="W46" s="63"/>
      <c r="X46" s="63"/>
      <c r="Y46" s="63"/>
      <c r="Z46" s="63"/>
      <c r="AA46" s="8"/>
      <c r="AB46" s="142"/>
      <c r="AC46" s="142"/>
      <c r="AD46" s="142"/>
      <c r="AE46" s="142"/>
      <c r="AF46" s="203">
        <v>11</v>
      </c>
    </row>
    <row r="47" spans="1:32" s="203" customFormat="1" ht="11.45" customHeight="1">
      <c r="A47" s="572"/>
      <c r="B47" s="68"/>
      <c r="C47" s="68"/>
      <c r="K47" s="63"/>
      <c r="L47" s="68"/>
      <c r="M47" s="68"/>
      <c r="N47" s="63"/>
      <c r="O47" s="63"/>
      <c r="P47" s="63"/>
      <c r="Q47" s="63"/>
      <c r="R47" s="68"/>
      <c r="S47" s="63"/>
      <c r="T47" s="63"/>
      <c r="U47" s="309"/>
      <c r="V47" s="63"/>
      <c r="W47" s="63"/>
      <c r="X47" s="63"/>
      <c r="Y47" s="63"/>
      <c r="Z47" s="63"/>
      <c r="AA47" s="8"/>
      <c r="AB47" s="142"/>
      <c r="AC47" s="142"/>
      <c r="AD47" s="142"/>
      <c r="AE47" s="142"/>
      <c r="AF47" s="203">
        <v>11</v>
      </c>
    </row>
    <row r="48" spans="1:32" s="203" customFormat="1" ht="11.45" customHeight="1">
      <c r="A48" s="572"/>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4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45" customHeight="1">
      <c r="A50" s="572"/>
      <c r="B50" s="68"/>
      <c r="C50" s="68"/>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4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4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4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4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4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4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4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4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4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4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4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4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4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4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4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4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4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4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4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4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4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4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4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4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4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4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4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4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4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4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4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4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4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4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4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4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4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4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4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4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4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4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4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4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4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4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4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4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4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4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4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4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4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4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4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4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4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4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4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4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4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4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4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4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4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4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4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4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4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4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4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4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4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4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4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4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4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4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4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4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4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4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4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ht="11.45" customHeight="1">
      <c r="AF196" s="11">
        <v>11</v>
      </c>
    </row>
    <row r="197" spans="1:32" ht="11.45" customHeight="1">
      <c r="AF197" s="11">
        <v>11</v>
      </c>
    </row>
    <row r="198" spans="1:32" ht="11.45" customHeight="1">
      <c r="AF198" s="11">
        <v>11</v>
      </c>
    </row>
    <row r="199" spans="1:32" ht="11.45" customHeight="1">
      <c r="A199" s="575"/>
      <c r="B199" s="11"/>
      <c r="K199" s="11"/>
      <c r="N199" s="11"/>
      <c r="O199" s="11"/>
      <c r="P199" s="11"/>
      <c r="Q199" s="11"/>
      <c r="S199" s="11"/>
      <c r="T199" s="11"/>
      <c r="U199" s="11"/>
      <c r="V199" s="11"/>
      <c r="W199" s="11"/>
      <c r="X199" s="11"/>
      <c r="Y199" s="11"/>
      <c r="Z199" s="11"/>
      <c r="AA199" s="11"/>
      <c r="AB199" s="11"/>
      <c r="AC199" s="11"/>
      <c r="AD199" s="11"/>
      <c r="AE199" s="11"/>
      <c r="AF199" s="11">
        <v>11</v>
      </c>
    </row>
    <row r="200" spans="1:32" ht="11.45" customHeight="1">
      <c r="A200" s="575"/>
      <c r="B200" s="11"/>
      <c r="K200" s="11"/>
      <c r="N200" s="11"/>
      <c r="O200" s="11"/>
      <c r="P200" s="11"/>
      <c r="Q200" s="11"/>
      <c r="S200" s="11"/>
      <c r="T200" s="11"/>
      <c r="U200" s="11"/>
      <c r="V200" s="11"/>
      <c r="W200" s="11"/>
      <c r="X200" s="11"/>
      <c r="Y200" s="11"/>
      <c r="Z200" s="11"/>
      <c r="AA200" s="11"/>
      <c r="AB200" s="11"/>
      <c r="AC200" s="11"/>
      <c r="AD200" s="11"/>
      <c r="AE200" s="11"/>
      <c r="AF200" s="11">
        <v>11</v>
      </c>
    </row>
    <row r="201" spans="1:32" ht="11.45" customHeight="1">
      <c r="A201" s="575"/>
      <c r="B201" s="11"/>
      <c r="K201" s="11"/>
      <c r="N201" s="11"/>
      <c r="O201" s="11"/>
      <c r="P201" s="11"/>
      <c r="Q201" s="11"/>
      <c r="S201" s="11"/>
      <c r="T201" s="11"/>
      <c r="U201" s="11"/>
      <c r="V201" s="11"/>
      <c r="W201" s="11"/>
      <c r="X201" s="11"/>
      <c r="Y201" s="11"/>
      <c r="Z201" s="11"/>
      <c r="AA201" s="11"/>
      <c r="AB201" s="11"/>
      <c r="AC201" s="11"/>
      <c r="AD201" s="11"/>
      <c r="AE201" s="11"/>
      <c r="AF201" s="11">
        <v>11</v>
      </c>
    </row>
    <row r="202" spans="1:32" ht="11.45" customHeight="1">
      <c r="A202" s="575"/>
      <c r="B202" s="11"/>
      <c r="K202" s="11"/>
      <c r="N202" s="11"/>
      <c r="O202" s="11"/>
      <c r="P202" s="11"/>
      <c r="Q202" s="11"/>
      <c r="S202" s="11"/>
      <c r="T202" s="11"/>
      <c r="U202" s="11"/>
      <c r="V202" s="11"/>
      <c r="W202" s="11"/>
      <c r="X202" s="11"/>
      <c r="Y202" s="11"/>
      <c r="Z202" s="11"/>
      <c r="AA202" s="11"/>
      <c r="AB202" s="11"/>
      <c r="AC202" s="11"/>
      <c r="AD202" s="11"/>
      <c r="AE202" s="11"/>
      <c r="AF202" s="11">
        <v>11</v>
      </c>
    </row>
    <row r="203" spans="1:32" ht="11.45" customHeight="1">
      <c r="A203" s="575"/>
      <c r="B203" s="11"/>
      <c r="K203" s="11"/>
      <c r="N203" s="11"/>
      <c r="O203" s="11"/>
      <c r="P203" s="11"/>
      <c r="Q203" s="11"/>
      <c r="S203" s="11"/>
      <c r="T203" s="11"/>
      <c r="U203" s="11"/>
      <c r="V203" s="11"/>
      <c r="W203" s="11"/>
      <c r="X203" s="11"/>
      <c r="Y203" s="11"/>
      <c r="Z203" s="11"/>
      <c r="AA203" s="11"/>
      <c r="AB203" s="11"/>
      <c r="AC203" s="11"/>
      <c r="AD203" s="11"/>
      <c r="AE203" s="11"/>
      <c r="AF203" s="11">
        <v>11</v>
      </c>
    </row>
    <row r="204" spans="1:32" ht="11.45" customHeight="1">
      <c r="A204" s="575"/>
      <c r="B204" s="11"/>
      <c r="K204" s="11"/>
      <c r="N204" s="11"/>
      <c r="O204" s="11"/>
      <c r="P204" s="11"/>
      <c r="Q204" s="11"/>
      <c r="S204" s="11"/>
      <c r="T204" s="11"/>
      <c r="U204" s="11"/>
      <c r="V204" s="11"/>
      <c r="W204" s="11"/>
      <c r="X204" s="11"/>
      <c r="Y204" s="11"/>
      <c r="Z204" s="11"/>
      <c r="AA204" s="11"/>
      <c r="AB204" s="11"/>
      <c r="AC204" s="11"/>
      <c r="AD204" s="11"/>
      <c r="AE204" s="11"/>
      <c r="AF204" s="11">
        <v>11</v>
      </c>
    </row>
    <row r="205" spans="1:32" ht="11.45" customHeight="1">
      <c r="A205" s="575"/>
      <c r="B205" s="11"/>
      <c r="K205" s="11"/>
      <c r="N205" s="11"/>
      <c r="O205" s="11"/>
      <c r="P205" s="11"/>
      <c r="Q205" s="11"/>
      <c r="S205" s="11"/>
      <c r="T205" s="11"/>
      <c r="U205" s="11"/>
      <c r="V205" s="11"/>
      <c r="W205" s="11"/>
      <c r="X205" s="11"/>
      <c r="Y205" s="11"/>
      <c r="Z205" s="11"/>
      <c r="AA205" s="11"/>
      <c r="AB205" s="11"/>
      <c r="AC205" s="11"/>
      <c r="AD205" s="11"/>
      <c r="AE205" s="11"/>
      <c r="AF205" s="11">
        <v>11</v>
      </c>
    </row>
    <row r="206" spans="1:32" ht="11.4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4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4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4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25" hidden="1" customHeight="1">
      <c r="A210" s="572" t="s">
        <v>82</v>
      </c>
      <c r="B210" s="63">
        <v>0</v>
      </c>
      <c r="C210" s="68">
        <v>0</v>
      </c>
      <c r="D210" s="11">
        <v>3</v>
      </c>
      <c r="E210" s="11">
        <v>7</v>
      </c>
      <c r="F210" s="11">
        <v>54</v>
      </c>
      <c r="G210" s="11">
        <v>10</v>
      </c>
      <c r="H210" s="11">
        <v>0</v>
      </c>
      <c r="I210" s="11">
        <v>40</v>
      </c>
      <c r="J210" s="11">
        <v>102</v>
      </c>
      <c r="K210" s="63">
        <v>9</v>
      </c>
      <c r="L210" s="68">
        <v>5</v>
      </c>
      <c r="M210" s="68">
        <v>3</v>
      </c>
      <c r="N210" s="63">
        <v>3</v>
      </c>
      <c r="O210" s="63">
        <v>3</v>
      </c>
      <c r="P210" s="63">
        <v>3</v>
      </c>
      <c r="Q210" s="63">
        <v>3</v>
      </c>
      <c r="R210" s="68">
        <v>10</v>
      </c>
      <c r="S210" s="63">
        <v>34</v>
      </c>
      <c r="T210" s="63">
        <v>9</v>
      </c>
      <c r="U210" s="309">
        <v>8</v>
      </c>
      <c r="V210" s="63">
        <v>8</v>
      </c>
      <c r="W210" s="63">
        <v>8</v>
      </c>
      <c r="X210" s="63">
        <v>8</v>
      </c>
      <c r="Y210" s="63">
        <v>8</v>
      </c>
      <c r="Z210" s="63">
        <v>8</v>
      </c>
      <c r="AA210" s="8">
        <v>8</v>
      </c>
      <c r="AB210" s="8">
        <v>8</v>
      </c>
      <c r="AC210" s="8">
        <v>8</v>
      </c>
      <c r="AD210" s="8">
        <v>8</v>
      </c>
      <c r="AE210" s="8">
        <v>8</v>
      </c>
      <c r="AF210" s="1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E1872-15E7-2BFF-7D26-05FA9336DABF}">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303" hidden="1" customWidth="1"/>
    <col min="2" max="2" width="3.57031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1" width="73" style="11" customWidth="1"/>
    <col min="12" max="12" width="3" style="11" customWidth="1"/>
    <col min="13" max="23" width="10" style="11" customWidth="1"/>
    <col min="24" max="24" width="10.5703125" style="11" hidden="1"/>
  </cols>
  <sheetData>
    <row r="1" spans="1:24" s="63" customFormat="1" ht="22.5" hidden="1" customHeight="1">
      <c r="A1" s="303"/>
      <c r="B1" s="68"/>
      <c r="G1" s="63">
        <v>4</v>
      </c>
      <c r="I1" s="63">
        <v>4</v>
      </c>
      <c r="K1" s="63">
        <v>5</v>
      </c>
      <c r="X1" s="63" t="s">
        <v>14</v>
      </c>
    </row>
    <row r="2" spans="1:24" ht="3" customHeight="1">
      <c r="X2" s="11">
        <v>3</v>
      </c>
    </row>
    <row r="3" spans="1:24" ht="78.75" customHeight="1">
      <c r="D3" s="114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1142"/>
      <c r="F3" s="1143"/>
      <c r="X3" s="11">
        <v>75</v>
      </c>
    </row>
    <row r="4" spans="1:24" s="11" customFormat="1" ht="21" customHeight="1">
      <c r="A4" s="303"/>
      <c r="B4" s="68"/>
      <c r="D4" s="1251" t="str">
        <f>IF(org=0,"Не определено",org)</f>
        <v>ООО "Инженерные сети"</v>
      </c>
      <c r="E4" s="1252"/>
      <c r="F4" s="1253"/>
      <c r="X4" s="11">
        <v>20</v>
      </c>
    </row>
    <row r="5" spans="1:24" ht="11.45" customHeight="1">
      <c r="H5" s="435"/>
      <c r="J5" s="435"/>
      <c r="X5" s="11">
        <v>11</v>
      </c>
    </row>
    <row r="6" spans="1:24" ht="1.1499999999999999" customHeight="1">
      <c r="E6" s="58"/>
      <c r="F6" s="356"/>
      <c r="G6" s="600"/>
      <c r="H6" s="600"/>
      <c r="I6" s="600" t="s">
        <v>122</v>
      </c>
      <c r="J6" s="600"/>
      <c r="X6" s="11">
        <v>1</v>
      </c>
    </row>
    <row r="7" spans="1:24" ht="11.45" customHeight="1">
      <c r="D7" s="409"/>
      <c r="E7" s="1362" t="s">
        <v>111</v>
      </c>
      <c r="F7" s="1363"/>
      <c r="G7" s="1382" t="str">
        <f>IF(G6="","",INDEX(DIFFERENTIATION_UNMERGE_VD,MATCH(G6,DIFFERENTIATION_ID_DIFF,0)))</f>
        <v/>
      </c>
      <c r="H7" s="1383"/>
      <c r="I7" s="1382" t="str">
        <f>IF(I6="","",INDEX(DIFFERENTIATION_UNMERGE_VD,MATCH(I6,DIFFERENTIATION_ID_DIFF,0)))</f>
        <v>Производство тепловой энергии. Некомбинированная выработка</v>
      </c>
      <c r="J7" s="1383"/>
      <c r="K7" s="1207"/>
      <c r="X7" s="11">
        <v>11</v>
      </c>
    </row>
    <row r="8" spans="1:24" ht="11.45" customHeight="1">
      <c r="D8" s="409"/>
      <c r="E8" s="1362" t="s">
        <v>568</v>
      </c>
      <c r="F8" s="1363"/>
      <c r="G8" s="1382" t="str">
        <f>IF(G6="","",INDEX(DIFFERENTIATION_UNMERGE_AREA,MATCH(G6,DIFFERENTIATION_ID_DIFF,0)))</f>
        <v/>
      </c>
      <c r="H8" s="1383"/>
      <c r="I8" s="1382" t="str">
        <f>IF(I6="","",INDEX(DIFFERENTIATION_UNMERGE_AREA,MATCH(I6,DIFFERENTIATION_ID_DIFF,0)))</f>
        <v>Территория 1</v>
      </c>
      <c r="J8" s="1383"/>
      <c r="K8" s="1212"/>
      <c r="X8" s="11">
        <v>11</v>
      </c>
    </row>
    <row r="9" spans="1:24" ht="11.45" customHeight="1">
      <c r="D9" s="409"/>
      <c r="E9" s="1362" t="s">
        <v>569</v>
      </c>
      <c r="F9" s="1363"/>
      <c r="G9" s="1382" t="str">
        <f>IF(G6="","",INDEX(DIFFERENTIATION_UNMERGE_SYSTEM,MATCH(G6,DIFFERENTIATION_ID_DIFF,0)))</f>
        <v/>
      </c>
      <c r="H9" s="1383"/>
      <c r="I9" s="1382" t="str">
        <f>IF(I6="","",INDEX(DIFFERENTIATION_UNMERGE_SYSTEM,MATCH(I6,DIFFERENTIATION_ID_DIFF,0)))</f>
        <v>без дифференциации</v>
      </c>
      <c r="J9" s="1383"/>
      <c r="K9" s="1212"/>
      <c r="X9" s="11">
        <v>11</v>
      </c>
    </row>
    <row r="10" spans="1:24" s="11" customFormat="1" ht="11.45" customHeight="1">
      <c r="A10" s="303"/>
      <c r="B10" s="68"/>
      <c r="D10" s="1129" t="s">
        <v>304</v>
      </c>
      <c r="E10" s="1135"/>
      <c r="F10" s="1135"/>
      <c r="G10" s="1135"/>
      <c r="H10" s="1135"/>
      <c r="I10" s="1135"/>
      <c r="J10" s="1128"/>
      <c r="K10" s="1212"/>
      <c r="X10" s="11">
        <v>11</v>
      </c>
    </row>
    <row r="11" spans="1:24" s="11" customFormat="1" ht="24" customHeight="1">
      <c r="A11" s="1274"/>
      <c r="B11" s="1274"/>
      <c r="C11" s="4"/>
      <c r="D11" s="41" t="s">
        <v>88</v>
      </c>
      <c r="E11" s="41" t="s">
        <v>810</v>
      </c>
      <c r="F11" s="41" t="s">
        <v>570</v>
      </c>
      <c r="G11" s="41" t="s">
        <v>307</v>
      </c>
      <c r="H11" s="41" t="s">
        <v>394</v>
      </c>
      <c r="I11" s="41" t="s">
        <v>307</v>
      </c>
      <c r="J11" s="389" t="s">
        <v>394</v>
      </c>
      <c r="K11" s="1261"/>
      <c r="L11" s="373"/>
      <c r="X11" s="11">
        <v>23</v>
      </c>
    </row>
    <row r="12" spans="1:24" s="68" customFormat="1" ht="10.5" customHeight="1">
      <c r="A12" s="313"/>
      <c r="D12" s="313" t="s">
        <v>115</v>
      </c>
      <c r="E12" s="313" t="s">
        <v>103</v>
      </c>
      <c r="F12" s="313" t="s">
        <v>90</v>
      </c>
      <c r="G12" s="122" t="str">
        <f>G1&amp;".1"</f>
        <v>4.1</v>
      </c>
      <c r="H12" s="122" t="str">
        <f>G1&amp;".2"</f>
        <v>4.2</v>
      </c>
      <c r="I12" s="122" t="str">
        <f>I1&amp;".1"</f>
        <v>4.1</v>
      </c>
      <c r="J12" s="122" t="str">
        <f>I1&amp;".2"</f>
        <v>4.2</v>
      </c>
      <c r="K12" s="122"/>
      <c r="X12" s="68">
        <v>10</v>
      </c>
    </row>
    <row r="13" spans="1:24" ht="22.5" customHeight="1">
      <c r="A13" s="1384" t="s">
        <v>811</v>
      </c>
      <c r="D13" s="43" t="s">
        <v>115</v>
      </c>
      <c r="E13" s="153" t="s">
        <v>812</v>
      </c>
      <c r="F13" s="374" t="s">
        <v>813</v>
      </c>
      <c r="G13" s="321"/>
      <c r="H13" s="375"/>
      <c r="I13" s="321"/>
      <c r="J13" s="375"/>
      <c r="K13" s="67" t="s">
        <v>814</v>
      </c>
      <c r="L13" s="417"/>
      <c r="X13" s="11">
        <v>0</v>
      </c>
    </row>
    <row r="14" spans="1:24" ht="22.5" customHeight="1">
      <c r="A14" s="1384"/>
      <c r="D14" s="43" t="s">
        <v>103</v>
      </c>
      <c r="E14" s="153" t="s">
        <v>815</v>
      </c>
      <c r="F14" s="374" t="s">
        <v>816</v>
      </c>
      <c r="G14" s="321"/>
      <c r="H14" s="375"/>
      <c r="I14" s="321"/>
      <c r="J14" s="375"/>
      <c r="K14" s="67" t="s">
        <v>817</v>
      </c>
      <c r="L14" s="417"/>
      <c r="X14" s="11">
        <v>0</v>
      </c>
    </row>
    <row r="15" spans="1:24" s="11" customFormat="1" ht="78.75" customHeight="1">
      <c r="A15" s="1384"/>
      <c r="B15" s="68"/>
      <c r="D15" s="43" t="s">
        <v>90</v>
      </c>
      <c r="E15" s="153" t="s">
        <v>818</v>
      </c>
      <c r="F15" s="41" t="s">
        <v>310</v>
      </c>
      <c r="G15" s="41" t="s">
        <v>310</v>
      </c>
      <c r="H15" s="37"/>
      <c r="I15" s="41" t="s">
        <v>310</v>
      </c>
      <c r="J15" s="37"/>
      <c r="K15" s="67" t="s">
        <v>819</v>
      </c>
      <c r="L15" s="417"/>
      <c r="X15" s="11">
        <v>0</v>
      </c>
    </row>
    <row r="16" spans="1:24" s="11" customFormat="1" ht="22.5" customHeight="1">
      <c r="A16" s="1384"/>
      <c r="B16" s="68"/>
      <c r="D16" s="43" t="s">
        <v>328</v>
      </c>
      <c r="E16" s="323" t="s">
        <v>820</v>
      </c>
      <c r="F16" s="41" t="s">
        <v>821</v>
      </c>
      <c r="G16" s="468"/>
      <c r="H16" s="37"/>
      <c r="I16" s="468"/>
      <c r="J16" s="37"/>
      <c r="K16" s="67"/>
      <c r="L16" s="417"/>
      <c r="X16" s="11">
        <v>0</v>
      </c>
    </row>
    <row r="17" spans="1:24" s="11" customFormat="1" ht="22.5" customHeight="1">
      <c r="A17" s="1384"/>
      <c r="B17" s="68"/>
      <c r="D17" s="43" t="s">
        <v>336</v>
      </c>
      <c r="E17" s="323" t="s">
        <v>822</v>
      </c>
      <c r="F17" s="41" t="s">
        <v>823</v>
      </c>
      <c r="G17" s="468"/>
      <c r="H17" s="37"/>
      <c r="I17" s="468"/>
      <c r="J17" s="37"/>
      <c r="K17" s="67"/>
      <c r="L17" s="417"/>
      <c r="X17" s="11">
        <v>0</v>
      </c>
    </row>
    <row r="18" spans="1:24" s="11" customFormat="1" ht="33.75" customHeight="1">
      <c r="A18" s="1384"/>
      <c r="B18" s="68"/>
      <c r="D18" s="43" t="s">
        <v>338</v>
      </c>
      <c r="E18" s="323" t="s">
        <v>824</v>
      </c>
      <c r="F18" s="41" t="s">
        <v>575</v>
      </c>
      <c r="G18" s="386"/>
      <c r="H18" s="37"/>
      <c r="I18" s="386"/>
      <c r="J18" s="37"/>
      <c r="K18" s="67"/>
      <c r="L18" s="417"/>
      <c r="X18" s="11">
        <v>0</v>
      </c>
    </row>
    <row r="19" spans="1:24" ht="101.25" customHeight="1">
      <c r="A19" s="1384"/>
      <c r="D19" s="43" t="s">
        <v>91</v>
      </c>
      <c r="E19" s="153" t="s">
        <v>825</v>
      </c>
      <c r="F19" s="374" t="s">
        <v>550</v>
      </c>
      <c r="G19" s="217"/>
      <c r="H19" s="375"/>
      <c r="I19" s="217"/>
      <c r="J19" s="375"/>
      <c r="K19" s="67" t="s">
        <v>826</v>
      </c>
      <c r="L19" s="417"/>
      <c r="X19" s="11">
        <v>0</v>
      </c>
    </row>
    <row r="20" spans="1:24" s="11" customFormat="1" ht="18.75" customHeight="1">
      <c r="A20" s="1384"/>
      <c r="C20" s="77"/>
      <c r="D20" s="43" t="s">
        <v>757</v>
      </c>
      <c r="E20" s="323" t="s">
        <v>827</v>
      </c>
      <c r="F20" s="41" t="s">
        <v>310</v>
      </c>
      <c r="G20" s="41" t="s">
        <v>310</v>
      </c>
      <c r="H20" s="340" t="s">
        <v>310</v>
      </c>
      <c r="I20" s="41" t="s">
        <v>310</v>
      </c>
      <c r="J20" s="340" t="s">
        <v>310</v>
      </c>
      <c r="K20" s="389"/>
      <c r="L20" s="417"/>
      <c r="W20" s="302"/>
      <c r="X20" s="11">
        <v>0</v>
      </c>
    </row>
    <row r="21" spans="1:24" s="11" customFormat="1" ht="33.75" customHeight="1">
      <c r="A21" s="1384"/>
      <c r="C21" s="77"/>
      <c r="D21" s="43" t="s">
        <v>760</v>
      </c>
      <c r="E21" s="338" t="s">
        <v>828</v>
      </c>
      <c r="F21" s="41" t="s">
        <v>829</v>
      </c>
      <c r="G21" s="386"/>
      <c r="H21" s="37"/>
      <c r="I21" s="386"/>
      <c r="J21" s="37"/>
      <c r="K21" s="389"/>
      <c r="L21" s="417"/>
      <c r="W21" s="302"/>
      <c r="X21" s="11">
        <v>0</v>
      </c>
    </row>
    <row r="22" spans="1:24" s="11" customFormat="1" ht="33.75" customHeight="1">
      <c r="A22" s="1384"/>
      <c r="C22" s="77"/>
      <c r="D22" s="43" t="s">
        <v>763</v>
      </c>
      <c r="E22" s="338" t="s">
        <v>830</v>
      </c>
      <c r="F22" s="41" t="s">
        <v>831</v>
      </c>
      <c r="G22" s="386"/>
      <c r="H22" s="37"/>
      <c r="I22" s="386"/>
      <c r="J22" s="37"/>
      <c r="K22" s="389"/>
      <c r="L22" s="417"/>
      <c r="W22" s="302"/>
      <c r="X22" s="11">
        <v>0</v>
      </c>
    </row>
    <row r="23" spans="1:24" s="11" customFormat="1" ht="22.5" customHeight="1">
      <c r="A23" s="1384"/>
      <c r="C23" s="77"/>
      <c r="D23" s="43" t="s">
        <v>799</v>
      </c>
      <c r="E23" s="323" t="s">
        <v>832</v>
      </c>
      <c r="F23" s="41" t="s">
        <v>310</v>
      </c>
      <c r="G23" s="41" t="s">
        <v>310</v>
      </c>
      <c r="H23" s="340" t="s">
        <v>310</v>
      </c>
      <c r="I23" s="41" t="s">
        <v>310</v>
      </c>
      <c r="J23" s="340" t="s">
        <v>310</v>
      </c>
      <c r="K23" s="389"/>
      <c r="L23" s="417"/>
      <c r="W23" s="302"/>
      <c r="X23" s="11">
        <v>0</v>
      </c>
    </row>
    <row r="24" spans="1:24" s="11" customFormat="1" ht="22.5" customHeight="1">
      <c r="A24" s="1384"/>
      <c r="C24" s="77"/>
      <c r="D24" s="43" t="s">
        <v>833</v>
      </c>
      <c r="E24" s="338" t="s">
        <v>834</v>
      </c>
      <c r="F24" s="41" t="s">
        <v>835</v>
      </c>
      <c r="G24" s="386"/>
      <c r="H24" s="391"/>
      <c r="I24" s="386"/>
      <c r="J24" s="391"/>
      <c r="K24" s="389"/>
      <c r="L24" s="417"/>
      <c r="W24" s="302"/>
      <c r="X24" s="11">
        <v>0</v>
      </c>
    </row>
    <row r="25" spans="1:24" s="11" customFormat="1" ht="22.5" customHeight="1">
      <c r="A25" s="1384"/>
      <c r="C25" s="77"/>
      <c r="D25" s="43" t="s">
        <v>836</v>
      </c>
      <c r="E25" s="338" t="s">
        <v>837</v>
      </c>
      <c r="F25" s="41" t="s">
        <v>310</v>
      </c>
      <c r="G25" s="41" t="s">
        <v>310</v>
      </c>
      <c r="H25" s="340" t="s">
        <v>310</v>
      </c>
      <c r="I25" s="41" t="s">
        <v>310</v>
      </c>
      <c r="J25" s="340" t="s">
        <v>310</v>
      </c>
      <c r="K25" s="389"/>
      <c r="L25" s="417"/>
      <c r="W25" s="302"/>
      <c r="X25" s="11">
        <v>0</v>
      </c>
    </row>
    <row r="26" spans="1:24" s="11" customFormat="1" ht="18.75" customHeight="1">
      <c r="A26" s="1384"/>
      <c r="C26" s="77"/>
      <c r="D26" s="43" t="s">
        <v>838</v>
      </c>
      <c r="E26" s="318" t="s">
        <v>839</v>
      </c>
      <c r="F26" s="41" t="s">
        <v>840</v>
      </c>
      <c r="G26" s="386"/>
      <c r="H26" s="391"/>
      <c r="I26" s="386"/>
      <c r="J26" s="391"/>
      <c r="K26" s="389"/>
      <c r="L26" s="417"/>
      <c r="W26" s="302"/>
      <c r="X26" s="11">
        <v>0</v>
      </c>
    </row>
    <row r="27" spans="1:24" s="11" customFormat="1" ht="18.75" customHeight="1">
      <c r="A27" s="1384"/>
      <c r="C27" s="77"/>
      <c r="D27" s="43" t="s">
        <v>841</v>
      </c>
      <c r="E27" s="318" t="s">
        <v>842</v>
      </c>
      <c r="F27" s="41" t="s">
        <v>843</v>
      </c>
      <c r="G27" s="386"/>
      <c r="H27" s="391"/>
      <c r="I27" s="386"/>
      <c r="J27" s="391"/>
      <c r="K27" s="389"/>
      <c r="L27" s="417"/>
      <c r="W27" s="302"/>
      <c r="X27" s="11">
        <v>0</v>
      </c>
    </row>
    <row r="28" spans="1:24" s="11" customFormat="1" ht="18.75" customHeight="1">
      <c r="A28" s="1384"/>
      <c r="C28" s="77"/>
      <c r="D28" s="43" t="s">
        <v>844</v>
      </c>
      <c r="E28" s="338" t="s">
        <v>845</v>
      </c>
      <c r="F28" s="41" t="s">
        <v>310</v>
      </c>
      <c r="G28" s="41" t="s">
        <v>310</v>
      </c>
      <c r="H28" s="340" t="s">
        <v>310</v>
      </c>
      <c r="I28" s="41" t="s">
        <v>310</v>
      </c>
      <c r="J28" s="340" t="s">
        <v>310</v>
      </c>
      <c r="K28" s="389"/>
      <c r="L28" s="417"/>
      <c r="W28" s="302"/>
      <c r="X28" s="11">
        <v>0</v>
      </c>
    </row>
    <row r="29" spans="1:24" s="11" customFormat="1" ht="18.75" customHeight="1">
      <c r="A29" s="1384"/>
      <c r="C29" s="77"/>
      <c r="D29" s="43" t="s">
        <v>846</v>
      </c>
      <c r="E29" s="318" t="s">
        <v>839</v>
      </c>
      <c r="F29" s="41" t="s">
        <v>847</v>
      </c>
      <c r="G29" s="386"/>
      <c r="H29" s="391"/>
      <c r="I29" s="386"/>
      <c r="J29" s="391"/>
      <c r="K29" s="389"/>
      <c r="L29" s="417"/>
      <c r="W29" s="302"/>
      <c r="X29" s="11">
        <v>0</v>
      </c>
    </row>
    <row r="30" spans="1:24" s="11" customFormat="1" ht="18.75" customHeight="1">
      <c r="A30" s="1384"/>
      <c r="C30" s="77"/>
      <c r="D30" s="43" t="s">
        <v>848</v>
      </c>
      <c r="E30" s="318" t="s">
        <v>849</v>
      </c>
      <c r="F30" s="41" t="s">
        <v>850</v>
      </c>
      <c r="G30" s="386"/>
      <c r="H30" s="391"/>
      <c r="I30" s="386"/>
      <c r="J30" s="391"/>
      <c r="K30" s="389"/>
      <c r="L30" s="417"/>
      <c r="W30" s="302"/>
      <c r="X30" s="11">
        <v>0</v>
      </c>
    </row>
    <row r="31" spans="1:24" ht="126.75" customHeight="1">
      <c r="A31" s="1384"/>
      <c r="D31" s="43" t="s">
        <v>116</v>
      </c>
      <c r="E31" s="153" t="s">
        <v>851</v>
      </c>
      <c r="F31" s="374" t="s">
        <v>562</v>
      </c>
      <c r="G31" s="321"/>
      <c r="H31" s="375"/>
      <c r="I31" s="321"/>
      <c r="J31" s="375"/>
      <c r="K31" s="67" t="s">
        <v>852</v>
      </c>
      <c r="L31" s="417"/>
      <c r="X31" s="11">
        <v>0</v>
      </c>
    </row>
    <row r="32" spans="1:24" ht="56.25" customHeight="1">
      <c r="A32" s="1384"/>
      <c r="D32" s="43" t="s">
        <v>92</v>
      </c>
      <c r="E32" s="153" t="s">
        <v>853</v>
      </c>
      <c r="F32" s="43" t="s">
        <v>823</v>
      </c>
      <c r="G32" s="321"/>
      <c r="H32" s="375"/>
      <c r="I32" s="321"/>
      <c r="J32" s="375"/>
      <c r="K32" s="67" t="s">
        <v>854</v>
      </c>
      <c r="L32" s="417"/>
      <c r="X32" s="11">
        <v>0</v>
      </c>
    </row>
    <row r="33" spans="1:24" ht="11.25" customHeight="1">
      <c r="A33" s="1384"/>
      <c r="E33" s="376"/>
      <c r="F33" s="92"/>
      <c r="G33" s="92"/>
      <c r="H33" s="92"/>
      <c r="I33" s="92"/>
      <c r="J33" s="92"/>
      <c r="K33" s="92"/>
      <c r="X33" s="11">
        <v>0</v>
      </c>
    </row>
    <row r="34" spans="1:24" ht="12.75" customHeight="1">
      <c r="A34" s="1384"/>
      <c r="D34" s="4">
        <v>1</v>
      </c>
      <c r="E34" s="197" t="s">
        <v>855</v>
      </c>
      <c r="X34" s="11">
        <v>0</v>
      </c>
    </row>
    <row r="35" spans="1:24" ht="11.25" customHeight="1">
      <c r="A35" s="1384"/>
      <c r="D35" s="4"/>
      <c r="E35" s="197" t="s">
        <v>856</v>
      </c>
      <c r="X35" s="11">
        <v>0</v>
      </c>
    </row>
    <row r="36" spans="1:24" s="11" customFormat="1" ht="11.45" customHeight="1">
      <c r="A36" s="303"/>
      <c r="B36" s="68"/>
      <c r="D36" s="4"/>
      <c r="E36" s="197"/>
      <c r="X36" s="11">
        <v>11</v>
      </c>
    </row>
    <row r="37" spans="1:24" s="11" customFormat="1" ht="22.5" hidden="1" customHeight="1">
      <c r="A37" s="1384" t="s">
        <v>857</v>
      </c>
      <c r="B37" s="68"/>
      <c r="D37" s="43">
        <v>1</v>
      </c>
      <c r="E37" s="153" t="s">
        <v>858</v>
      </c>
      <c r="F37" s="374" t="s">
        <v>813</v>
      </c>
      <c r="G37" s="321"/>
      <c r="H37" s="295"/>
      <c r="I37" s="321"/>
      <c r="J37" s="295"/>
      <c r="K37" s="67" t="s">
        <v>859</v>
      </c>
      <c r="X37" s="11">
        <v>0</v>
      </c>
    </row>
    <row r="38" spans="1:24" s="11" customFormat="1" ht="22.5" hidden="1" customHeight="1">
      <c r="A38" s="1384"/>
      <c r="B38" s="68"/>
      <c r="D38" s="381" t="s">
        <v>103</v>
      </c>
      <c r="E38" s="608" t="s">
        <v>860</v>
      </c>
      <c r="F38" s="609" t="s">
        <v>550</v>
      </c>
      <c r="G38" s="609" t="s">
        <v>550</v>
      </c>
      <c r="H38" s="606"/>
      <c r="I38" s="609" t="s">
        <v>550</v>
      </c>
      <c r="J38" s="606"/>
      <c r="K38" s="607"/>
      <c r="X38" s="11">
        <v>0</v>
      </c>
    </row>
    <row r="39" spans="1:24" s="11" customFormat="1" ht="33.75" hidden="1" customHeight="1">
      <c r="A39" s="1384"/>
      <c r="B39" s="68"/>
      <c r="D39" s="377" t="s">
        <v>715</v>
      </c>
      <c r="E39" s="420" t="s">
        <v>861</v>
      </c>
      <c r="F39" s="374" t="s">
        <v>862</v>
      </c>
      <c r="G39" s="380"/>
      <c r="H39" s="601"/>
      <c r="I39" s="380"/>
      <c r="J39" s="601"/>
      <c r="K39" s="67" t="s">
        <v>863</v>
      </c>
      <c r="X39" s="11">
        <v>0</v>
      </c>
    </row>
    <row r="40" spans="1:24" s="11" customFormat="1" ht="33.75" hidden="1" customHeight="1">
      <c r="A40" s="1384"/>
      <c r="B40" s="68"/>
      <c r="D40" s="377" t="s">
        <v>718</v>
      </c>
      <c r="E40" s="420" t="s">
        <v>864</v>
      </c>
      <c r="F40" s="603" t="s">
        <v>865</v>
      </c>
      <c r="G40" s="429"/>
      <c r="H40" s="601"/>
      <c r="I40" s="429"/>
      <c r="J40" s="601"/>
      <c r="K40" s="67" t="s">
        <v>866</v>
      </c>
      <c r="X40" s="11">
        <v>0</v>
      </c>
    </row>
    <row r="41" spans="1:24" s="11" customFormat="1" ht="22.5" hidden="1" customHeight="1">
      <c r="A41" s="1384"/>
      <c r="B41" s="68"/>
      <c r="D41" s="377" t="s">
        <v>90</v>
      </c>
      <c r="E41" s="419" t="s">
        <v>867</v>
      </c>
      <c r="F41" s="374" t="s">
        <v>550</v>
      </c>
      <c r="G41" s="374" t="s">
        <v>550</v>
      </c>
      <c r="H41" s="602"/>
      <c r="I41" s="374" t="s">
        <v>550</v>
      </c>
      <c r="J41" s="602"/>
      <c r="K41" s="173"/>
      <c r="X41" s="11">
        <v>0</v>
      </c>
    </row>
    <row r="42" spans="1:24" s="11" customFormat="1" ht="45" hidden="1" customHeight="1">
      <c r="A42" s="1384"/>
      <c r="B42" s="68"/>
      <c r="D42" s="377" t="s">
        <v>328</v>
      </c>
      <c r="E42" s="420" t="s">
        <v>868</v>
      </c>
      <c r="F42" s="374" t="s">
        <v>562</v>
      </c>
      <c r="G42" s="321"/>
      <c r="H42" s="602"/>
      <c r="I42" s="321"/>
      <c r="J42" s="602"/>
      <c r="K42" s="173" t="s">
        <v>869</v>
      </c>
      <c r="X42" s="11">
        <v>0</v>
      </c>
    </row>
    <row r="43" spans="1:24" s="11" customFormat="1" ht="45" hidden="1" customHeight="1">
      <c r="A43" s="1384"/>
      <c r="B43" s="68"/>
      <c r="D43" s="377" t="s">
        <v>336</v>
      </c>
      <c r="E43" s="379" t="s">
        <v>870</v>
      </c>
      <c r="F43" s="604" t="s">
        <v>562</v>
      </c>
      <c r="G43" s="430"/>
      <c r="H43" s="601"/>
      <c r="I43" s="430"/>
      <c r="J43" s="601"/>
      <c r="K43" s="173" t="s">
        <v>871</v>
      </c>
      <c r="X43" s="11">
        <v>0</v>
      </c>
    </row>
    <row r="44" spans="1:24" s="11" customFormat="1" ht="11.25" hidden="1" customHeight="1">
      <c r="A44" s="1384"/>
      <c r="B44" s="68"/>
      <c r="D44" s="377" t="s">
        <v>91</v>
      </c>
      <c r="E44" s="378" t="s">
        <v>872</v>
      </c>
      <c r="F44" s="374" t="s">
        <v>862</v>
      </c>
      <c r="G44" s="380"/>
      <c r="H44" s="601"/>
      <c r="I44" s="380"/>
      <c r="J44" s="601"/>
      <c r="K44" s="67"/>
      <c r="X44" s="11">
        <v>0</v>
      </c>
    </row>
    <row r="45" spans="1:24" s="11" customFormat="1" ht="11.25" hidden="1" customHeight="1">
      <c r="A45" s="1384"/>
      <c r="B45" s="68"/>
      <c r="D45" s="377" t="s">
        <v>757</v>
      </c>
      <c r="E45" s="379" t="s">
        <v>873</v>
      </c>
      <c r="F45" s="374" t="s">
        <v>862</v>
      </c>
      <c r="G45" s="380"/>
      <c r="H45" s="601"/>
      <c r="I45" s="380"/>
      <c r="J45" s="601"/>
      <c r="K45" s="67"/>
      <c r="X45" s="11">
        <v>0</v>
      </c>
    </row>
    <row r="46" spans="1:24" s="11" customFormat="1" ht="11.25" hidden="1" customHeight="1">
      <c r="A46" s="1384"/>
      <c r="B46" s="68"/>
      <c r="D46" s="377" t="s">
        <v>799</v>
      </c>
      <c r="E46" s="379" t="s">
        <v>874</v>
      </c>
      <c r="F46" s="374" t="s">
        <v>862</v>
      </c>
      <c r="G46" s="380"/>
      <c r="H46" s="601"/>
      <c r="I46" s="380"/>
      <c r="J46" s="601"/>
      <c r="K46" s="67"/>
      <c r="X46" s="11">
        <v>0</v>
      </c>
    </row>
    <row r="47" spans="1:24" s="11" customFormat="1" ht="11.25" hidden="1" customHeight="1">
      <c r="A47" s="1384"/>
      <c r="B47" s="68"/>
      <c r="D47" s="377" t="s">
        <v>802</v>
      </c>
      <c r="E47" s="379" t="s">
        <v>875</v>
      </c>
      <c r="F47" s="374" t="s">
        <v>862</v>
      </c>
      <c r="G47" s="380"/>
      <c r="H47" s="601"/>
      <c r="I47" s="380"/>
      <c r="J47" s="601"/>
      <c r="K47" s="67"/>
      <c r="X47" s="11">
        <v>0</v>
      </c>
    </row>
    <row r="48" spans="1:24" s="11" customFormat="1" ht="11.25" hidden="1" customHeight="1">
      <c r="A48" s="1384"/>
      <c r="B48" s="68"/>
      <c r="D48" s="377" t="s">
        <v>876</v>
      </c>
      <c r="E48" s="382" t="s">
        <v>877</v>
      </c>
      <c r="F48" s="374" t="s">
        <v>862</v>
      </c>
      <c r="G48" s="380"/>
      <c r="H48" s="601"/>
      <c r="I48" s="380"/>
      <c r="J48" s="601"/>
      <c r="K48" s="67"/>
      <c r="X48" s="11">
        <v>0</v>
      </c>
    </row>
    <row r="49" spans="1:24" s="11" customFormat="1" ht="11.25" hidden="1" customHeight="1">
      <c r="A49" s="1384"/>
      <c r="B49" s="68"/>
      <c r="D49" s="377" t="s">
        <v>878</v>
      </c>
      <c r="E49" s="382" t="s">
        <v>879</v>
      </c>
      <c r="F49" s="374" t="s">
        <v>862</v>
      </c>
      <c r="G49" s="380"/>
      <c r="H49" s="601"/>
      <c r="I49" s="380"/>
      <c r="J49" s="601"/>
      <c r="K49" s="67"/>
      <c r="X49" s="11">
        <v>0</v>
      </c>
    </row>
    <row r="50" spans="1:24" s="11" customFormat="1" ht="11.25" hidden="1" customHeight="1">
      <c r="A50" s="1384"/>
      <c r="B50" s="68"/>
      <c r="D50" s="377" t="s">
        <v>880</v>
      </c>
      <c r="E50" s="379" t="s">
        <v>881</v>
      </c>
      <c r="F50" s="374" t="s">
        <v>862</v>
      </c>
      <c r="G50" s="380"/>
      <c r="H50" s="601"/>
      <c r="I50" s="380"/>
      <c r="J50" s="601"/>
      <c r="K50" s="67"/>
      <c r="X50" s="11">
        <v>0</v>
      </c>
    </row>
    <row r="51" spans="1:24" s="11" customFormat="1" ht="11.25" hidden="1" customHeight="1">
      <c r="A51" s="1384"/>
      <c r="B51" s="68"/>
      <c r="D51" s="377" t="s">
        <v>882</v>
      </c>
      <c r="E51" s="379" t="s">
        <v>883</v>
      </c>
      <c r="F51" s="374" t="s">
        <v>862</v>
      </c>
      <c r="G51" s="380"/>
      <c r="H51" s="601"/>
      <c r="I51" s="380"/>
      <c r="J51" s="601"/>
      <c r="K51" s="67"/>
      <c r="X51" s="11">
        <v>0</v>
      </c>
    </row>
    <row r="52" spans="1:24" s="11" customFormat="1" ht="45" hidden="1" customHeight="1">
      <c r="A52" s="1384"/>
      <c r="B52" s="68"/>
      <c r="D52" s="377" t="s">
        <v>116</v>
      </c>
      <c r="E52" s="378" t="s">
        <v>884</v>
      </c>
      <c r="F52" s="374" t="s">
        <v>862</v>
      </c>
      <c r="G52" s="380"/>
      <c r="H52" s="601"/>
      <c r="I52" s="380"/>
      <c r="J52" s="601"/>
      <c r="K52" s="67"/>
      <c r="X52" s="11">
        <v>0</v>
      </c>
    </row>
    <row r="53" spans="1:24" s="11" customFormat="1" ht="11.25" hidden="1" customHeight="1">
      <c r="A53" s="1384"/>
      <c r="B53" s="68"/>
      <c r="D53" s="377" t="s">
        <v>317</v>
      </c>
      <c r="E53" s="379" t="s">
        <v>873</v>
      </c>
      <c r="F53" s="374" t="s">
        <v>862</v>
      </c>
      <c r="G53" s="380"/>
      <c r="H53" s="601"/>
      <c r="I53" s="380"/>
      <c r="J53" s="601"/>
      <c r="K53" s="67"/>
      <c r="X53" s="11">
        <v>0</v>
      </c>
    </row>
    <row r="54" spans="1:24" s="11" customFormat="1" ht="11.25" hidden="1" customHeight="1">
      <c r="A54" s="1384"/>
      <c r="B54" s="68"/>
      <c r="D54" s="377" t="s">
        <v>885</v>
      </c>
      <c r="E54" s="379" t="s">
        <v>874</v>
      </c>
      <c r="F54" s="374" t="s">
        <v>862</v>
      </c>
      <c r="G54" s="380"/>
      <c r="H54" s="601"/>
      <c r="I54" s="380"/>
      <c r="J54" s="601"/>
      <c r="K54" s="67"/>
      <c r="X54" s="11">
        <v>0</v>
      </c>
    </row>
    <row r="55" spans="1:24" s="11" customFormat="1" ht="11.25" hidden="1" customHeight="1">
      <c r="A55" s="1384"/>
      <c r="B55" s="68"/>
      <c r="D55" s="377" t="s">
        <v>886</v>
      </c>
      <c r="E55" s="379" t="s">
        <v>875</v>
      </c>
      <c r="F55" s="374" t="s">
        <v>862</v>
      </c>
      <c r="G55" s="380"/>
      <c r="H55" s="601"/>
      <c r="I55" s="380"/>
      <c r="J55" s="601"/>
      <c r="K55" s="67"/>
      <c r="X55" s="11">
        <v>0</v>
      </c>
    </row>
    <row r="56" spans="1:24" s="11" customFormat="1" ht="11.25" hidden="1" customHeight="1">
      <c r="A56" s="1384"/>
      <c r="B56" s="68"/>
      <c r="D56" s="377" t="s">
        <v>887</v>
      </c>
      <c r="E56" s="382" t="s">
        <v>877</v>
      </c>
      <c r="F56" s="374" t="s">
        <v>862</v>
      </c>
      <c r="G56" s="380"/>
      <c r="H56" s="601"/>
      <c r="I56" s="380"/>
      <c r="J56" s="601"/>
      <c r="K56" s="67"/>
      <c r="X56" s="11">
        <v>0</v>
      </c>
    </row>
    <row r="57" spans="1:24" s="11" customFormat="1" ht="11.25" hidden="1" customHeight="1">
      <c r="A57" s="1384"/>
      <c r="B57" s="68"/>
      <c r="D57" s="377" t="s">
        <v>888</v>
      </c>
      <c r="E57" s="382" t="s">
        <v>879</v>
      </c>
      <c r="F57" s="374" t="s">
        <v>862</v>
      </c>
      <c r="G57" s="380"/>
      <c r="H57" s="601"/>
      <c r="I57" s="380"/>
      <c r="J57" s="601"/>
      <c r="K57" s="67"/>
      <c r="X57" s="11">
        <v>0</v>
      </c>
    </row>
    <row r="58" spans="1:24" s="11" customFormat="1" ht="11.25" hidden="1" customHeight="1">
      <c r="A58" s="1384"/>
      <c r="B58" s="68"/>
      <c r="D58" s="377" t="s">
        <v>889</v>
      </c>
      <c r="E58" s="379" t="s">
        <v>881</v>
      </c>
      <c r="F58" s="374" t="s">
        <v>862</v>
      </c>
      <c r="G58" s="380"/>
      <c r="H58" s="601"/>
      <c r="I58" s="380"/>
      <c r="J58" s="601"/>
      <c r="K58" s="67"/>
      <c r="X58" s="11">
        <v>0</v>
      </c>
    </row>
    <row r="59" spans="1:24" s="11" customFormat="1" ht="11.25" hidden="1" customHeight="1">
      <c r="A59" s="1384"/>
      <c r="B59" s="68"/>
      <c r="D59" s="377" t="s">
        <v>890</v>
      </c>
      <c r="E59" s="379" t="s">
        <v>883</v>
      </c>
      <c r="F59" s="374" t="s">
        <v>862</v>
      </c>
      <c r="G59" s="380"/>
      <c r="H59" s="601"/>
      <c r="I59" s="380"/>
      <c r="J59" s="601"/>
      <c r="K59" s="67"/>
      <c r="X59" s="11">
        <v>0</v>
      </c>
    </row>
    <row r="60" spans="1:24" s="11" customFormat="1" ht="33.75" hidden="1" customHeight="1">
      <c r="A60" s="1384"/>
      <c r="B60" s="68"/>
      <c r="D60" s="377" t="s">
        <v>92</v>
      </c>
      <c r="E60" s="378" t="s">
        <v>891</v>
      </c>
      <c r="F60" s="418" t="s">
        <v>562</v>
      </c>
      <c r="G60" s="430"/>
      <c r="H60" s="601"/>
      <c r="I60" s="430"/>
      <c r="J60" s="601"/>
      <c r="K60" s="173" t="s">
        <v>892</v>
      </c>
      <c r="X60" s="11">
        <v>0</v>
      </c>
    </row>
    <row r="61" spans="1:24" s="11" customFormat="1" ht="33.75" hidden="1" customHeight="1">
      <c r="A61" s="1384"/>
      <c r="B61" s="68"/>
      <c r="D61" s="377" t="s">
        <v>93</v>
      </c>
      <c r="E61" s="378" t="s">
        <v>893</v>
      </c>
      <c r="F61" s="423" t="s">
        <v>823</v>
      </c>
      <c r="G61" s="380"/>
      <c r="H61" s="601"/>
      <c r="I61" s="380"/>
      <c r="J61" s="601"/>
      <c r="K61" s="67"/>
      <c r="X61" s="11">
        <v>0</v>
      </c>
    </row>
    <row r="62" spans="1:24" s="11" customFormat="1" ht="22.5" hidden="1" customHeight="1">
      <c r="A62" s="1384"/>
      <c r="B62" s="68" t="s">
        <v>592</v>
      </c>
      <c r="D62" s="377" t="s">
        <v>117</v>
      </c>
      <c r="E62" s="378" t="s">
        <v>894</v>
      </c>
      <c r="F62" s="423" t="s">
        <v>310</v>
      </c>
      <c r="G62" s="117"/>
      <c r="H62" s="601"/>
      <c r="I62" s="117"/>
      <c r="J62" s="601"/>
      <c r="K62" s="67" t="s">
        <v>635</v>
      </c>
      <c r="X62" s="11">
        <v>0</v>
      </c>
    </row>
    <row r="63" spans="1:24" s="11" customFormat="1" ht="45" hidden="1" customHeight="1">
      <c r="A63" s="1384"/>
      <c r="B63" s="68" t="s">
        <v>592</v>
      </c>
      <c r="D63" s="377" t="s">
        <v>895</v>
      </c>
      <c r="E63" s="379" t="s">
        <v>896</v>
      </c>
      <c r="F63" s="418" t="s">
        <v>310</v>
      </c>
      <c r="G63" s="117"/>
      <c r="H63" s="601"/>
      <c r="I63" s="117"/>
      <c r="J63" s="601"/>
      <c r="K63" s="67" t="s">
        <v>635</v>
      </c>
      <c r="X63" s="11">
        <v>0</v>
      </c>
    </row>
    <row r="64" spans="1:24" s="11" customFormat="1" ht="11.45" customHeight="1">
      <c r="A64" s="303"/>
      <c r="B64" s="68"/>
      <c r="D64" s="4"/>
      <c r="E64" s="197"/>
      <c r="X64" s="11">
        <v>11</v>
      </c>
    </row>
    <row r="65" spans="1:24" s="11" customFormat="1" ht="22.5" hidden="1" customHeight="1">
      <c r="A65" s="1384" t="s">
        <v>897</v>
      </c>
      <c r="B65" s="68"/>
      <c r="D65" s="377">
        <v>1</v>
      </c>
      <c r="E65" s="432" t="s">
        <v>898</v>
      </c>
      <c r="F65" s="428" t="s">
        <v>813</v>
      </c>
      <c r="G65" s="429"/>
      <c r="H65" s="605"/>
      <c r="I65" s="429"/>
      <c r="J65" s="605"/>
      <c r="K65" s="172" t="s">
        <v>899</v>
      </c>
      <c r="X65" s="11">
        <v>0</v>
      </c>
    </row>
    <row r="66" spans="1:24" s="11" customFormat="1" ht="56.25" hidden="1" customHeight="1">
      <c r="A66" s="1384"/>
      <c r="B66" s="68"/>
      <c r="D66" s="431" t="s">
        <v>103</v>
      </c>
      <c r="E66" s="153" t="s">
        <v>900</v>
      </c>
      <c r="F66" s="374" t="s">
        <v>550</v>
      </c>
      <c r="G66" s="374" t="s">
        <v>550</v>
      </c>
      <c r="H66" s="295"/>
      <c r="I66" s="374" t="s">
        <v>550</v>
      </c>
      <c r="J66" s="295"/>
      <c r="K66" s="67"/>
      <c r="X66" s="11">
        <v>0</v>
      </c>
    </row>
    <row r="67" spans="1:24" s="11" customFormat="1" ht="33.75" hidden="1" customHeight="1">
      <c r="A67" s="1384"/>
      <c r="B67" s="68"/>
      <c r="D67" s="431" t="s">
        <v>712</v>
      </c>
      <c r="E67" s="323" t="s">
        <v>901</v>
      </c>
      <c r="F67" s="374" t="s">
        <v>865</v>
      </c>
      <c r="G67" s="424"/>
      <c r="H67" s="295"/>
      <c r="I67" s="424"/>
      <c r="J67" s="295"/>
      <c r="K67" s="67"/>
      <c r="X67" s="11">
        <v>0</v>
      </c>
    </row>
    <row r="68" spans="1:24" s="11" customFormat="1" ht="22.5" hidden="1" customHeight="1">
      <c r="A68" s="1384"/>
      <c r="B68" s="68"/>
      <c r="D68" s="431" t="s">
        <v>311</v>
      </c>
      <c r="E68" s="323" t="s">
        <v>902</v>
      </c>
      <c r="F68" s="374" t="s">
        <v>865</v>
      </c>
      <c r="G68" s="424"/>
      <c r="H68" s="295"/>
      <c r="I68" s="424"/>
      <c r="J68" s="295"/>
      <c r="K68" s="67"/>
      <c r="X68" s="11">
        <v>0</v>
      </c>
    </row>
    <row r="69" spans="1:24" s="11" customFormat="1" ht="22.5" hidden="1" customHeight="1">
      <c r="A69" s="1384"/>
      <c r="B69" s="68"/>
      <c r="D69" s="431" t="s">
        <v>314</v>
      </c>
      <c r="E69" s="323" t="s">
        <v>903</v>
      </c>
      <c r="F69" s="418" t="s">
        <v>562</v>
      </c>
      <c r="G69" s="430"/>
      <c r="H69" s="295"/>
      <c r="I69" s="430"/>
      <c r="J69" s="295"/>
      <c r="K69" s="67"/>
      <c r="X69" s="11">
        <v>0</v>
      </c>
    </row>
    <row r="70" spans="1:24" s="11" customFormat="1" ht="22.5" hidden="1" customHeight="1">
      <c r="A70" s="1384"/>
      <c r="B70" s="68"/>
      <c r="D70" s="431" t="s">
        <v>732</v>
      </c>
      <c r="E70" s="323" t="s">
        <v>904</v>
      </c>
      <c r="F70" s="418" t="s">
        <v>562</v>
      </c>
      <c r="G70" s="430"/>
      <c r="H70" s="295"/>
      <c r="I70" s="430"/>
      <c r="J70" s="295"/>
      <c r="K70" s="67"/>
      <c r="X70" s="11">
        <v>0</v>
      </c>
    </row>
    <row r="71" spans="1:24" s="11" customFormat="1" ht="22.5" hidden="1" customHeight="1">
      <c r="A71" s="1384"/>
      <c r="B71" s="68"/>
      <c r="D71" s="377" t="s">
        <v>90</v>
      </c>
      <c r="E71" s="378" t="s">
        <v>905</v>
      </c>
      <c r="F71" s="374" t="s">
        <v>865</v>
      </c>
      <c r="G71" s="321"/>
      <c r="H71" s="606"/>
      <c r="I71" s="321"/>
      <c r="J71" s="606"/>
      <c r="K71" s="173"/>
      <c r="X71" s="11">
        <v>0</v>
      </c>
    </row>
    <row r="72" spans="1:24" s="11" customFormat="1" ht="56.25" hidden="1" customHeight="1">
      <c r="A72" s="1384"/>
      <c r="B72" s="68"/>
      <c r="D72" s="377" t="s">
        <v>91</v>
      </c>
      <c r="E72" s="378" t="s">
        <v>906</v>
      </c>
      <c r="F72" s="418" t="s">
        <v>562</v>
      </c>
      <c r="G72" s="430"/>
      <c r="H72" s="601"/>
      <c r="I72" s="430"/>
      <c r="J72" s="601"/>
      <c r="K72" s="173"/>
      <c r="X72" s="11">
        <v>0</v>
      </c>
    </row>
    <row r="73" spans="1:24" s="11" customFormat="1" ht="33.75" hidden="1" customHeight="1">
      <c r="A73" s="1384"/>
      <c r="B73" s="68"/>
      <c r="D73" s="377" t="s">
        <v>116</v>
      </c>
      <c r="E73" s="378" t="s">
        <v>907</v>
      </c>
      <c r="F73" s="423" t="s">
        <v>823</v>
      </c>
      <c r="G73" s="380"/>
      <c r="H73" s="601"/>
      <c r="I73" s="380"/>
      <c r="J73" s="601"/>
      <c r="K73" s="67"/>
      <c r="X73" s="11">
        <v>0</v>
      </c>
    </row>
    <row r="74" spans="1:24" s="11" customFormat="1" ht="22.5" hidden="1" customHeight="1">
      <c r="A74" s="1384"/>
      <c r="B74" s="68" t="s">
        <v>592</v>
      </c>
      <c r="D74" s="377" t="s">
        <v>92</v>
      </c>
      <c r="E74" s="378" t="s">
        <v>908</v>
      </c>
      <c r="F74" s="423" t="s">
        <v>310</v>
      </c>
      <c r="G74" s="117"/>
      <c r="H74" s="601"/>
      <c r="I74" s="117"/>
      <c r="J74" s="601"/>
      <c r="K74" s="67" t="s">
        <v>635</v>
      </c>
      <c r="X74" s="11">
        <v>0</v>
      </c>
    </row>
    <row r="75" spans="1:24" s="11" customFormat="1" ht="45" hidden="1" customHeight="1">
      <c r="A75" s="1384"/>
      <c r="B75" s="68" t="s">
        <v>592</v>
      </c>
      <c r="D75" s="377" t="s">
        <v>656</v>
      </c>
      <c r="E75" s="379" t="s">
        <v>909</v>
      </c>
      <c r="F75" s="418" t="s">
        <v>310</v>
      </c>
      <c r="G75" s="117"/>
      <c r="H75" s="601"/>
      <c r="I75" s="117"/>
      <c r="J75" s="601"/>
      <c r="K75" s="67" t="s">
        <v>635</v>
      </c>
      <c r="X75" s="11">
        <v>0</v>
      </c>
    </row>
    <row r="76" spans="1:24" s="11" customFormat="1" ht="11.45" customHeight="1">
      <c r="A76" s="303"/>
      <c r="B76" s="68"/>
      <c r="D76" s="4"/>
      <c r="E76" s="197"/>
      <c r="X76" s="11">
        <v>11</v>
      </c>
    </row>
    <row r="77" spans="1:24" s="11" customFormat="1" ht="11.25" hidden="1" customHeight="1">
      <c r="A77" s="1384" t="s">
        <v>910</v>
      </c>
      <c r="B77" s="68"/>
      <c r="D77" s="377">
        <v>1</v>
      </c>
      <c r="E77" s="378" t="s">
        <v>911</v>
      </c>
      <c r="F77" s="418" t="s">
        <v>813</v>
      </c>
      <c r="G77" s="421"/>
      <c r="H77" s="601"/>
      <c r="I77" s="421"/>
      <c r="J77" s="601"/>
      <c r="K77" s="67" t="s">
        <v>912</v>
      </c>
      <c r="X77" s="11">
        <v>0</v>
      </c>
    </row>
    <row r="78" spans="1:24" s="11" customFormat="1" ht="11.25" hidden="1" customHeight="1">
      <c r="A78" s="1384"/>
      <c r="B78" s="68"/>
      <c r="D78" s="377" t="s">
        <v>103</v>
      </c>
      <c r="E78" s="378" t="s">
        <v>913</v>
      </c>
      <c r="F78" s="418" t="s">
        <v>813</v>
      </c>
      <c r="G78" s="421"/>
      <c r="H78" s="601"/>
      <c r="I78" s="421"/>
      <c r="J78" s="601"/>
      <c r="K78" s="67" t="s">
        <v>914</v>
      </c>
      <c r="X78" s="11">
        <v>0</v>
      </c>
    </row>
    <row r="79" spans="1:24" s="11" customFormat="1" ht="22.5" hidden="1" customHeight="1">
      <c r="A79" s="1384"/>
      <c r="B79" s="68"/>
      <c r="D79" s="377" t="s">
        <v>90</v>
      </c>
      <c r="E79" s="419" t="s">
        <v>915</v>
      </c>
      <c r="F79" s="374" t="s">
        <v>862</v>
      </c>
      <c r="G79" s="421"/>
      <c r="H79" s="601"/>
      <c r="I79" s="421"/>
      <c r="J79" s="601"/>
      <c r="K79" s="67" t="s">
        <v>916</v>
      </c>
      <c r="X79" s="11">
        <v>0</v>
      </c>
    </row>
    <row r="80" spans="1:24" s="11" customFormat="1" ht="11.25" hidden="1" customHeight="1">
      <c r="A80" s="1384"/>
      <c r="B80" s="68"/>
      <c r="D80" s="377" t="s">
        <v>328</v>
      </c>
      <c r="E80" s="420" t="s">
        <v>917</v>
      </c>
      <c r="F80" s="374" t="s">
        <v>862</v>
      </c>
      <c r="G80" s="421"/>
      <c r="H80" s="601"/>
      <c r="I80" s="421"/>
      <c r="J80" s="601"/>
      <c r="K80" s="67"/>
      <c r="X80" s="11">
        <v>0</v>
      </c>
    </row>
    <row r="81" spans="1:24" s="11" customFormat="1" ht="11.25" hidden="1" customHeight="1">
      <c r="A81" s="1384"/>
      <c r="B81" s="68"/>
      <c r="D81" s="377" t="s">
        <v>336</v>
      </c>
      <c r="E81" s="420" t="s">
        <v>918</v>
      </c>
      <c r="F81" s="374" t="s">
        <v>862</v>
      </c>
      <c r="G81" s="421"/>
      <c r="H81" s="601"/>
      <c r="I81" s="421"/>
      <c r="J81" s="601"/>
      <c r="K81" s="67"/>
      <c r="X81" s="11">
        <v>0</v>
      </c>
    </row>
    <row r="82" spans="1:24" s="11" customFormat="1" ht="11.25" hidden="1" customHeight="1">
      <c r="A82" s="1384"/>
      <c r="B82" s="68"/>
      <c r="D82" s="377" t="s">
        <v>338</v>
      </c>
      <c r="E82" s="420" t="s">
        <v>919</v>
      </c>
      <c r="F82" s="374" t="s">
        <v>862</v>
      </c>
      <c r="G82" s="421"/>
      <c r="H82" s="601"/>
      <c r="I82" s="421"/>
      <c r="J82" s="601"/>
      <c r="K82" s="67"/>
      <c r="X82" s="11">
        <v>0</v>
      </c>
    </row>
    <row r="83" spans="1:24" s="11" customFormat="1" ht="11.25" hidden="1" customHeight="1">
      <c r="A83" s="1384"/>
      <c r="B83" s="68"/>
      <c r="D83" s="377" t="s">
        <v>340</v>
      </c>
      <c r="E83" s="420" t="s">
        <v>920</v>
      </c>
      <c r="F83" s="374" t="s">
        <v>862</v>
      </c>
      <c r="G83" s="421"/>
      <c r="H83" s="601"/>
      <c r="I83" s="421"/>
      <c r="J83" s="601"/>
      <c r="K83" s="67"/>
      <c r="X83" s="11">
        <v>0</v>
      </c>
    </row>
    <row r="84" spans="1:24" s="11" customFormat="1" ht="11.25" hidden="1" customHeight="1">
      <c r="A84" s="1384"/>
      <c r="B84" s="68"/>
      <c r="D84" s="377" t="s">
        <v>921</v>
      </c>
      <c r="E84" s="420" t="s">
        <v>922</v>
      </c>
      <c r="F84" s="374" t="s">
        <v>862</v>
      </c>
      <c r="G84" s="421"/>
      <c r="H84" s="601"/>
      <c r="I84" s="421"/>
      <c r="J84" s="601"/>
      <c r="K84" s="67"/>
      <c r="X84" s="11">
        <v>0</v>
      </c>
    </row>
    <row r="85" spans="1:24" s="11" customFormat="1" ht="11.25" hidden="1" customHeight="1">
      <c r="A85" s="1384"/>
      <c r="B85" s="68"/>
      <c r="D85" s="377" t="s">
        <v>923</v>
      </c>
      <c r="E85" s="420" t="s">
        <v>924</v>
      </c>
      <c r="F85" s="374" t="s">
        <v>862</v>
      </c>
      <c r="G85" s="421"/>
      <c r="H85" s="601"/>
      <c r="I85" s="421"/>
      <c r="J85" s="601"/>
      <c r="K85" s="67"/>
      <c r="X85" s="11">
        <v>0</v>
      </c>
    </row>
    <row r="86" spans="1:24" s="11" customFormat="1" ht="11.25" hidden="1" customHeight="1">
      <c r="A86" s="1384"/>
      <c r="B86" s="68"/>
      <c r="D86" s="377" t="s">
        <v>925</v>
      </c>
      <c r="E86" s="420" t="s">
        <v>926</v>
      </c>
      <c r="F86" s="374" t="s">
        <v>862</v>
      </c>
      <c r="G86" s="421"/>
      <c r="H86" s="601"/>
      <c r="I86" s="421"/>
      <c r="J86" s="601"/>
      <c r="K86" s="67"/>
      <c r="X86" s="11">
        <v>0</v>
      </c>
    </row>
    <row r="87" spans="1:24" s="11" customFormat="1" ht="45" hidden="1" customHeight="1">
      <c r="A87" s="1384"/>
      <c r="B87" s="68"/>
      <c r="D87" s="377" t="s">
        <v>91</v>
      </c>
      <c r="E87" s="378" t="s">
        <v>927</v>
      </c>
      <c r="F87" s="374" t="s">
        <v>862</v>
      </c>
      <c r="G87" s="421"/>
      <c r="H87" s="601"/>
      <c r="I87" s="421"/>
      <c r="J87" s="601"/>
      <c r="K87" s="67" t="s">
        <v>928</v>
      </c>
      <c r="X87" s="11">
        <v>0</v>
      </c>
    </row>
    <row r="88" spans="1:24" s="11" customFormat="1" ht="11.25" hidden="1" customHeight="1">
      <c r="A88" s="1384"/>
      <c r="B88" s="68"/>
      <c r="D88" s="377" t="s">
        <v>757</v>
      </c>
      <c r="E88" s="420" t="s">
        <v>917</v>
      </c>
      <c r="F88" s="374" t="s">
        <v>862</v>
      </c>
      <c r="G88" s="421"/>
      <c r="H88" s="601"/>
      <c r="I88" s="421"/>
      <c r="J88" s="601"/>
      <c r="K88" s="67"/>
      <c r="X88" s="11">
        <v>0</v>
      </c>
    </row>
    <row r="89" spans="1:24" s="11" customFormat="1" ht="11.25" hidden="1" customHeight="1">
      <c r="A89" s="1384"/>
      <c r="B89" s="68"/>
      <c r="D89" s="377" t="s">
        <v>799</v>
      </c>
      <c r="E89" s="420" t="s">
        <v>918</v>
      </c>
      <c r="F89" s="374" t="s">
        <v>862</v>
      </c>
      <c r="G89" s="421"/>
      <c r="H89" s="601"/>
      <c r="I89" s="421"/>
      <c r="J89" s="601"/>
      <c r="K89" s="67"/>
      <c r="X89" s="11">
        <v>0</v>
      </c>
    </row>
    <row r="90" spans="1:24" s="11" customFormat="1" ht="11.25" hidden="1" customHeight="1">
      <c r="A90" s="1384"/>
      <c r="B90" s="68"/>
      <c r="D90" s="377" t="s">
        <v>802</v>
      </c>
      <c r="E90" s="420" t="s">
        <v>919</v>
      </c>
      <c r="F90" s="374" t="s">
        <v>862</v>
      </c>
      <c r="G90" s="421"/>
      <c r="H90" s="601"/>
      <c r="I90" s="421"/>
      <c r="J90" s="601"/>
      <c r="K90" s="67"/>
      <c r="X90" s="11">
        <v>0</v>
      </c>
    </row>
    <row r="91" spans="1:24" s="11" customFormat="1" ht="11.25" hidden="1" customHeight="1">
      <c r="A91" s="1384"/>
      <c r="B91" s="68"/>
      <c r="D91" s="377" t="s">
        <v>880</v>
      </c>
      <c r="E91" s="420" t="s">
        <v>920</v>
      </c>
      <c r="F91" s="374" t="s">
        <v>862</v>
      </c>
      <c r="G91" s="421"/>
      <c r="H91" s="601"/>
      <c r="I91" s="421"/>
      <c r="J91" s="601"/>
      <c r="K91" s="67"/>
      <c r="X91" s="11">
        <v>0</v>
      </c>
    </row>
    <row r="92" spans="1:24" s="11" customFormat="1" ht="11.25" hidden="1" customHeight="1">
      <c r="A92" s="1384"/>
      <c r="B92" s="68"/>
      <c r="D92" s="377" t="s">
        <v>882</v>
      </c>
      <c r="E92" s="420" t="s">
        <v>922</v>
      </c>
      <c r="F92" s="374" t="s">
        <v>862</v>
      </c>
      <c r="G92" s="421"/>
      <c r="H92" s="601"/>
      <c r="I92" s="421"/>
      <c r="J92" s="601"/>
      <c r="K92" s="67"/>
      <c r="X92" s="11">
        <v>0</v>
      </c>
    </row>
    <row r="93" spans="1:24" s="11" customFormat="1" ht="11.25" hidden="1" customHeight="1">
      <c r="A93" s="1384"/>
      <c r="B93" s="68"/>
      <c r="D93" s="377" t="s">
        <v>929</v>
      </c>
      <c r="E93" s="420" t="s">
        <v>924</v>
      </c>
      <c r="F93" s="374" t="s">
        <v>862</v>
      </c>
      <c r="G93" s="421"/>
      <c r="H93" s="601"/>
      <c r="I93" s="421"/>
      <c r="J93" s="601"/>
      <c r="K93" s="67"/>
      <c r="X93" s="11">
        <v>0</v>
      </c>
    </row>
    <row r="94" spans="1:24" s="11" customFormat="1" ht="11.25" hidden="1" customHeight="1">
      <c r="A94" s="1384"/>
      <c r="B94" s="68"/>
      <c r="D94" s="377" t="s">
        <v>930</v>
      </c>
      <c r="E94" s="420" t="s">
        <v>926</v>
      </c>
      <c r="F94" s="374" t="s">
        <v>862</v>
      </c>
      <c r="G94" s="421"/>
      <c r="H94" s="601"/>
      <c r="I94" s="421"/>
      <c r="J94" s="601"/>
      <c r="K94" s="67"/>
      <c r="X94" s="11">
        <v>0</v>
      </c>
    </row>
    <row r="95" spans="1:24" s="11" customFormat="1" ht="24.75" hidden="1" customHeight="1">
      <c r="A95" s="1384"/>
      <c r="B95" s="68"/>
      <c r="D95" s="377" t="s">
        <v>116</v>
      </c>
      <c r="E95" s="378" t="s">
        <v>931</v>
      </c>
      <c r="F95" s="422" t="s">
        <v>562</v>
      </c>
      <c r="G95" s="424"/>
      <c r="H95" s="601"/>
      <c r="I95" s="424"/>
      <c r="J95" s="601"/>
      <c r="K95" s="67" t="s">
        <v>932</v>
      </c>
      <c r="X95" s="11">
        <v>0</v>
      </c>
    </row>
    <row r="96" spans="1:24" s="11" customFormat="1" ht="33.75" hidden="1" customHeight="1">
      <c r="A96" s="1384"/>
      <c r="B96" s="68"/>
      <c r="D96" s="377" t="s">
        <v>92</v>
      </c>
      <c r="E96" s="378" t="s">
        <v>933</v>
      </c>
      <c r="F96" s="423" t="s">
        <v>823</v>
      </c>
      <c r="G96" s="425"/>
      <c r="H96" s="601"/>
      <c r="I96" s="425"/>
      <c r="J96" s="601"/>
      <c r="K96" s="67"/>
      <c r="X96" s="11">
        <v>0</v>
      </c>
    </row>
    <row r="97" spans="1:24" s="11" customFormat="1" ht="22.5" hidden="1" customHeight="1">
      <c r="A97" s="1384"/>
      <c r="B97" s="68" t="s">
        <v>592</v>
      </c>
      <c r="D97" s="377" t="s">
        <v>93</v>
      </c>
      <c r="E97" s="378" t="s">
        <v>934</v>
      </c>
      <c r="F97" s="423" t="s">
        <v>310</v>
      </c>
      <c r="G97" s="220"/>
      <c r="H97" s="601"/>
      <c r="I97" s="220"/>
      <c r="J97" s="601"/>
      <c r="K97" s="67" t="s">
        <v>635</v>
      </c>
      <c r="X97" s="11">
        <v>0</v>
      </c>
    </row>
    <row r="98" spans="1:24" s="11" customFormat="1" ht="45" hidden="1" customHeight="1">
      <c r="A98" s="1384"/>
      <c r="B98" s="68" t="s">
        <v>592</v>
      </c>
      <c r="D98" s="377" t="s">
        <v>935</v>
      </c>
      <c r="E98" s="379" t="s">
        <v>936</v>
      </c>
      <c r="F98" s="418" t="s">
        <v>310</v>
      </c>
      <c r="G98" s="220"/>
      <c r="H98" s="601"/>
      <c r="I98" s="220"/>
      <c r="J98" s="601"/>
      <c r="K98" s="67" t="s">
        <v>635</v>
      </c>
      <c r="X98" s="11">
        <v>0</v>
      </c>
    </row>
    <row r="99" spans="1:24" s="11" customFormat="1" ht="95.25" hidden="1" customHeight="1">
      <c r="A99" s="1384"/>
      <c r="B99" s="68" t="s">
        <v>592</v>
      </c>
      <c r="D99" s="377" t="s">
        <v>117</v>
      </c>
      <c r="E99" s="378" t="s">
        <v>937</v>
      </c>
      <c r="F99" s="418" t="s">
        <v>310</v>
      </c>
      <c r="G99" s="220"/>
      <c r="H99" s="601"/>
      <c r="I99" s="220"/>
      <c r="J99" s="601"/>
      <c r="K99" s="67" t="s">
        <v>635</v>
      </c>
      <c r="X99" s="11">
        <v>0</v>
      </c>
    </row>
    <row r="100" spans="1:24" s="11" customFormat="1" ht="22.5" hidden="1" customHeight="1">
      <c r="A100" s="1384"/>
      <c r="B100" s="68" t="s">
        <v>592</v>
      </c>
      <c r="D100" s="377" t="s">
        <v>154</v>
      </c>
      <c r="E100" s="378" t="s">
        <v>938</v>
      </c>
      <c r="F100" s="418" t="s">
        <v>310</v>
      </c>
      <c r="G100" s="220"/>
      <c r="H100" s="601"/>
      <c r="I100" s="220"/>
      <c r="J100" s="601"/>
      <c r="K100" s="67" t="s">
        <v>635</v>
      </c>
      <c r="X100" s="11">
        <v>0</v>
      </c>
    </row>
    <row r="101" spans="1:24" s="11" customFormat="1" ht="11.45" customHeight="1">
      <c r="A101" s="303"/>
      <c r="B101" s="68"/>
      <c r="D101" s="4"/>
      <c r="E101" s="197"/>
      <c r="X101" s="11">
        <v>11</v>
      </c>
    </row>
    <row r="102" spans="1:24" ht="22.5" hidden="1" customHeight="1">
      <c r="A102" s="303" t="s">
        <v>82</v>
      </c>
      <c r="B102" s="68">
        <v>0</v>
      </c>
      <c r="C102" s="11">
        <v>3</v>
      </c>
      <c r="D102" s="11">
        <v>7</v>
      </c>
      <c r="E102" s="11">
        <v>69</v>
      </c>
      <c r="F102" s="11">
        <v>10</v>
      </c>
      <c r="G102" s="11">
        <v>0</v>
      </c>
      <c r="H102" s="11">
        <v>0</v>
      </c>
      <c r="I102" s="11">
        <v>43</v>
      </c>
      <c r="J102" s="11">
        <v>43</v>
      </c>
      <c r="K102" s="11">
        <v>73</v>
      </c>
      <c r="L102" s="11">
        <v>3</v>
      </c>
      <c r="M102" s="11">
        <v>10</v>
      </c>
      <c r="N102" s="11">
        <v>10</v>
      </c>
      <c r="O102" s="11">
        <v>10</v>
      </c>
      <c r="P102" s="11">
        <v>10</v>
      </c>
      <c r="Q102" s="11">
        <v>10</v>
      </c>
      <c r="R102" s="11">
        <v>10</v>
      </c>
      <c r="S102" s="11">
        <v>10</v>
      </c>
      <c r="T102" s="11">
        <v>10</v>
      </c>
      <c r="U102" s="11">
        <v>10</v>
      </c>
      <c r="V102" s="11">
        <v>10</v>
      </c>
      <c r="W102" s="11">
        <v>10</v>
      </c>
      <c r="X102" s="1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52F15-3FBF-2318-BFD3-A44865F0CD0E}">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40625" style="69" hidden="1"/>
    <col min="21" max="24" width="9.140625" style="17" hidden="1"/>
    <col min="25" max="37" width="9.140625" style="82" hidden="1"/>
    <col min="38" max="38" width="8" style="82"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4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1142"/>
      <c r="F4" s="1142"/>
      <c r="G4" s="1142"/>
      <c r="H4" s="1142"/>
      <c r="I4" s="1143"/>
      <c r="J4" s="82"/>
      <c r="K4" s="82"/>
      <c r="L4" s="82"/>
      <c r="M4" s="82"/>
      <c r="AM4" s="35">
        <v>34</v>
      </c>
    </row>
    <row r="5" spans="1:39" s="42" customFormat="1" ht="14.65" customHeight="1">
      <c r="A5" s="17"/>
      <c r="B5" s="17"/>
      <c r="C5" s="17"/>
      <c r="D5" s="1144" t="str">
        <f>IF(org=0,"Не определено",org)</f>
        <v>ООО "Инженерные сети"</v>
      </c>
      <c r="E5" s="1145"/>
      <c r="F5" s="1145"/>
      <c r="G5" s="1145"/>
      <c r="H5" s="1145"/>
      <c r="I5" s="1146"/>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4" customHeight="1">
      <c r="A6" s="1132"/>
      <c r="B6" s="1132"/>
      <c r="C6" s="1132"/>
      <c r="D6" s="1132"/>
      <c r="E6" s="1132"/>
      <c r="F6" s="1132"/>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5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2"/>
      <c r="G7" s="1152"/>
      <c r="H7" s="1152"/>
      <c r="I7" s="1152"/>
      <c r="J7" s="1152"/>
      <c r="K7" s="1152"/>
      <c r="L7" s="1152"/>
      <c r="M7" s="1152"/>
      <c r="AM7" s="35">
        <v>0</v>
      </c>
    </row>
    <row r="8" spans="1:39" s="42" customFormat="1" ht="6.4"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47"/>
      <c r="B9" s="11"/>
      <c r="C9" s="11"/>
      <c r="D9" s="1148" t="s">
        <v>111</v>
      </c>
      <c r="E9" s="1148"/>
      <c r="F9" s="1149" t="s">
        <v>112</v>
      </c>
      <c r="G9" s="1150"/>
      <c r="H9" s="1150"/>
      <c r="I9" s="1150"/>
      <c r="J9" s="1153" t="s">
        <v>113</v>
      </c>
      <c r="K9" s="1153"/>
      <c r="L9" s="1153"/>
      <c r="M9" s="1153"/>
      <c r="AM9" s="35">
        <v>18</v>
      </c>
    </row>
    <row r="10" spans="1:39" ht="24" customHeight="1">
      <c r="A10" s="1147"/>
      <c r="B10" s="58"/>
      <c r="C10" s="298"/>
      <c r="D10" s="41" t="s">
        <v>88</v>
      </c>
      <c r="E10" s="41" t="s">
        <v>89</v>
      </c>
      <c r="F10" s="41" t="s">
        <v>114</v>
      </c>
      <c r="G10" s="1154" t="s">
        <v>88</v>
      </c>
      <c r="H10" s="1155"/>
      <c r="I10" s="41" t="s">
        <v>89</v>
      </c>
      <c r="J10" s="41" t="s">
        <v>114</v>
      </c>
      <c r="K10" s="1154" t="s">
        <v>88</v>
      </c>
      <c r="L10" s="1155"/>
      <c r="M10" s="41" t="s">
        <v>89</v>
      </c>
      <c r="N10" s="466"/>
      <c r="AM10" s="35">
        <v>23</v>
      </c>
    </row>
    <row r="11" spans="1:39" s="35" customFormat="1" ht="11.25" hidden="1" customHeight="1">
      <c r="A11" s="344"/>
      <c r="B11" s="344"/>
      <c r="C11" s="344"/>
      <c r="D11" s="345" t="s">
        <v>115</v>
      </c>
      <c r="E11" s="345" t="s">
        <v>103</v>
      </c>
      <c r="F11" s="345" t="s">
        <v>90</v>
      </c>
      <c r="G11" s="1137" t="s">
        <v>91</v>
      </c>
      <c r="H11" s="1138"/>
      <c r="I11" s="345" t="s">
        <v>116</v>
      </c>
      <c r="J11" s="345" t="s">
        <v>92</v>
      </c>
      <c r="K11" s="1139" t="s">
        <v>93</v>
      </c>
      <c r="L11" s="1140"/>
      <c r="M11" s="345" t="s">
        <v>117</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1499999999999999" customHeight="1">
      <c r="A12" s="346"/>
      <c r="B12" s="58"/>
      <c r="C12" s="58"/>
      <c r="D12" s="347"/>
      <c r="E12" s="213"/>
      <c r="F12" s="213"/>
      <c r="G12" s="623"/>
      <c r="H12" s="623"/>
      <c r="I12" s="213"/>
      <c r="J12" s="213"/>
      <c r="K12" s="85"/>
      <c r="L12" s="213"/>
      <c r="M12" s="348"/>
      <c r="N12" s="466"/>
      <c r="O12" s="69" t="s">
        <v>118</v>
      </c>
      <c r="P12" s="69" t="s">
        <v>119</v>
      </c>
      <c r="Q12" s="69" t="s">
        <v>120</v>
      </c>
      <c r="R12" s="69" t="s">
        <v>121</v>
      </c>
      <c r="AM12" s="35">
        <v>1</v>
      </c>
    </row>
    <row r="13" spans="1:39" s="35" customFormat="1" ht="15.75" customHeight="1">
      <c r="A13"/>
      <c r="B13"/>
      <c r="C13" s="77"/>
      <c r="D13" s="1159" t="s">
        <v>115</v>
      </c>
      <c r="E13" s="1160" t="str">
        <f>INDEX(VD_NAME_LIST,MATCH("4190064",VD_ID_LIST,0))</f>
        <v>Производство тепловой энергии. Некомбинированная выработка</v>
      </c>
      <c r="F13" s="1163" t="s">
        <v>66</v>
      </c>
      <c r="G13" s="1164"/>
      <c r="H13" s="1165">
        <v>1</v>
      </c>
      <c r="I13" s="1156" t="str">
        <f>IF(U13="","",INDEX(TERRITORY_MR_LIST,MATCH(U13,TERRITORY_LIST_ID,0)))</f>
        <v>Территория 1</v>
      </c>
      <c r="J13" s="1158" t="s">
        <v>19</v>
      </c>
      <c r="K13" s="349"/>
      <c r="L13" s="43" t="s">
        <v>115</v>
      </c>
      <c r="M13" s="350" t="s">
        <v>22</v>
      </c>
      <c r="N13" s="466"/>
      <c r="O13" s="69" t="s">
        <v>122</v>
      </c>
      <c r="P13" s="69" t="str">
        <f>$E$13</f>
        <v>Производство тепловой энергии. Некомбинированная выработка</v>
      </c>
      <c r="Q13" s="69" t="str">
        <f>IF($F$13="нет","без дифференциации",$I$13)</f>
        <v>Территория 1</v>
      </c>
      <c r="R13" s="69" t="str">
        <f>IF($J$13="нет","без дифференциации",M13)</f>
        <v>без дифференциации</v>
      </c>
      <c r="S13" s="69"/>
      <c r="T13" s="69"/>
      <c r="U13" s="17" t="s">
        <v>98</v>
      </c>
      <c r="V13" s="17" t="s">
        <v>123</v>
      </c>
      <c r="W13" s="17"/>
      <c r="X13" s="17"/>
      <c r="Y13" s="82" t="s">
        <v>124</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59"/>
      <c r="E14" s="1161"/>
      <c r="F14" s="1158"/>
      <c r="G14" s="1164"/>
      <c r="H14" s="1165"/>
      <c r="I14" s="1157"/>
      <c r="J14" s="1158"/>
      <c r="K14" s="237"/>
      <c r="L14" s="88"/>
      <c r="M14" s="352" t="s">
        <v>125</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s="35" customFormat="1" ht="15.75" customHeight="1">
      <c r="A15"/>
      <c r="B15"/>
      <c r="C15" s="87"/>
      <c r="D15" s="1159"/>
      <c r="E15" s="1162"/>
      <c r="F15" s="1158"/>
      <c r="G15" s="624"/>
      <c r="H15" s="625"/>
      <c r="I15" s="110" t="s">
        <v>126</v>
      </c>
      <c r="J15" s="88"/>
      <c r="K15" s="88"/>
      <c r="L15" s="88"/>
      <c r="M15" s="353"/>
      <c r="N15" s="466"/>
      <c r="O15" s="69"/>
      <c r="P15" s="69"/>
      <c r="Q15" s="69"/>
      <c r="R15" s="69"/>
      <c r="S15" s="69"/>
      <c r="T15" s="69"/>
      <c r="U15" s="17"/>
      <c r="V15" s="17"/>
      <c r="W15" s="17"/>
      <c r="X15" s="17"/>
      <c r="Y15" s="82"/>
      <c r="Z15" s="82"/>
      <c r="AA15" s="82"/>
      <c r="AB15" s="82"/>
      <c r="AC15" s="82"/>
      <c r="AD15" s="82"/>
      <c r="AE15" s="82"/>
      <c r="AF15" s="82"/>
      <c r="AG15" s="82"/>
      <c r="AH15" s="82"/>
      <c r="AI15" s="82"/>
      <c r="AJ15" s="82"/>
      <c r="AK15" s="82"/>
      <c r="AL15" s="82"/>
      <c r="AM15" s="35">
        <v>15</v>
      </c>
    </row>
    <row r="16" spans="1:39" ht="15.75" customHeight="1">
      <c r="A16" s="354"/>
      <c r="B16" s="33"/>
      <c r="C16" s="55"/>
      <c r="D16" s="237"/>
      <c r="E16" s="111" t="s">
        <v>127</v>
      </c>
      <c r="F16" s="88"/>
      <c r="G16" s="88"/>
      <c r="H16" s="88"/>
      <c r="I16" s="88"/>
      <c r="J16" s="88"/>
      <c r="K16" s="88" t="s">
        <v>22</v>
      </c>
      <c r="L16" s="88"/>
      <c r="M16" s="353"/>
      <c r="N16" s="466"/>
      <c r="AM16" s="35">
        <v>15</v>
      </c>
    </row>
    <row r="17" spans="1:39" ht="11.25" hidden="1" customHeight="1">
      <c r="A17" s="35" t="s">
        <v>82</v>
      </c>
      <c r="B17" s="35">
        <v>0</v>
      </c>
      <c r="C17" s="35">
        <v>3</v>
      </c>
      <c r="D17" s="35">
        <v>4</v>
      </c>
      <c r="E17" s="35">
        <v>44</v>
      </c>
      <c r="F17" s="35">
        <v>6</v>
      </c>
      <c r="G17" s="35">
        <v>4</v>
      </c>
      <c r="H17" s="35">
        <v>5</v>
      </c>
      <c r="I17" s="35">
        <v>52</v>
      </c>
      <c r="J17" s="35">
        <v>6</v>
      </c>
      <c r="K17" s="35">
        <v>3</v>
      </c>
      <c r="L17" s="35">
        <v>6</v>
      </c>
      <c r="M17" s="35">
        <v>56</v>
      </c>
      <c r="N17" s="82">
        <v>8</v>
      </c>
      <c r="O17" s="69">
        <v>0</v>
      </c>
      <c r="P17" s="69">
        <v>0</v>
      </c>
      <c r="Q17" s="69">
        <v>0</v>
      </c>
      <c r="R17" s="69">
        <v>0</v>
      </c>
      <c r="S17" s="69">
        <v>0</v>
      </c>
      <c r="T17" s="69">
        <v>0</v>
      </c>
      <c r="U17" s="17">
        <v>0</v>
      </c>
      <c r="V17" s="17">
        <v>0</v>
      </c>
      <c r="W17" s="17">
        <v>0</v>
      </c>
      <c r="X17" s="17">
        <v>0</v>
      </c>
      <c r="Y17" s="82">
        <v>0</v>
      </c>
      <c r="Z17" s="82">
        <v>0</v>
      </c>
      <c r="AA17" s="82">
        <v>0</v>
      </c>
      <c r="AB17" s="82">
        <v>0</v>
      </c>
      <c r="AC17" s="82">
        <v>0</v>
      </c>
      <c r="AD17" s="82">
        <v>0</v>
      </c>
      <c r="AE17" s="82">
        <v>0</v>
      </c>
      <c r="AF17" s="82">
        <v>0</v>
      </c>
      <c r="AG17" s="82">
        <v>0</v>
      </c>
      <c r="AH17" s="82">
        <v>0</v>
      </c>
      <c r="AI17" s="82">
        <v>0</v>
      </c>
      <c r="AJ17" s="82">
        <v>0</v>
      </c>
      <c r="AK17" s="82">
        <v>0</v>
      </c>
      <c r="AL17" s="82">
        <v>8</v>
      </c>
      <c r="AM17" s="35">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0866141732283472" right="0.70866141732283472" top="0.74803149606299213" bottom="0.74803149606299213" header="0.31496062992125984" footer="0.31496062992125984"/>
  <pageSetup paperSize="9" scale="7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04E53-2214-71A4-6C38-7752816C37D7}">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93" style="63" customWidth="1"/>
    <col min="12" max="20" width="10" style="11" customWidth="1"/>
    <col min="21" max="21" width="10" style="302" customWidth="1"/>
    <col min="22" max="22" width="10.5703125" style="11" hidden="1"/>
  </cols>
  <sheetData>
    <row r="1" spans="1:22" s="63" customFormat="1" ht="22.5" hidden="1" customHeight="1">
      <c r="C1" s="301"/>
      <c r="G1" s="63">
        <v>4</v>
      </c>
      <c r="I1" s="63">
        <v>4</v>
      </c>
      <c r="U1" s="236"/>
      <c r="V1" s="63" t="s">
        <v>14</v>
      </c>
    </row>
    <row r="2" spans="1:22" s="63" customFormat="1" ht="15" hidden="1" customHeight="1">
      <c r="C2" s="301"/>
      <c r="U2" s="236"/>
      <c r="V2" s="63">
        <v>0</v>
      </c>
    </row>
    <row r="3" spans="1:22" ht="22.5" hidden="1" customHeight="1">
      <c r="A3" s="11"/>
      <c r="B3" s="1385"/>
      <c r="C3" s="1386" t="s">
        <v>104</v>
      </c>
      <c r="D3" s="393" t="str">
        <f>B3&amp;".1"</f>
        <v>.1</v>
      </c>
      <c r="E3" s="394" t="s">
        <v>939</v>
      </c>
      <c r="F3" s="395" t="s">
        <v>310</v>
      </c>
      <c r="G3" s="391"/>
      <c r="H3" s="228"/>
      <c r="I3" s="391"/>
      <c r="J3" s="228"/>
      <c r="K3" s="67" t="s">
        <v>940</v>
      </c>
      <c r="V3" s="11">
        <v>0</v>
      </c>
    </row>
    <row r="4" spans="1:22" ht="15" hidden="1" customHeight="1">
      <c r="A4" s="11"/>
      <c r="B4" s="1385"/>
      <c r="C4" s="1386"/>
      <c r="D4" s="393" t="str">
        <f>B3&amp;".2"</f>
        <v>.2</v>
      </c>
      <c r="E4" s="394" t="s">
        <v>941</v>
      </c>
      <c r="F4" s="395" t="s">
        <v>310</v>
      </c>
      <c r="G4" s="947" t="s">
        <v>22</v>
      </c>
      <c r="H4" s="228"/>
      <c r="I4" s="947" t="s">
        <v>22</v>
      </c>
      <c r="J4" s="228"/>
      <c r="K4" s="67" t="s">
        <v>942</v>
      </c>
      <c r="V4" s="11">
        <v>0</v>
      </c>
    </row>
    <row r="5" spans="1:22" s="63" customFormat="1" ht="15" hidden="1" customHeight="1">
      <c r="C5" s="301"/>
      <c r="U5" s="236"/>
      <c r="V5" s="63">
        <v>0</v>
      </c>
    </row>
    <row r="6" spans="1:22" ht="22.5" hidden="1" customHeight="1">
      <c r="A6" s="11"/>
      <c r="B6" s="1385"/>
      <c r="C6" s="1386" t="s">
        <v>104</v>
      </c>
      <c r="D6" s="393" t="str">
        <f>B6&amp;".1"</f>
        <v>.1</v>
      </c>
      <c r="E6" s="394" t="s">
        <v>943</v>
      </c>
      <c r="F6" s="395" t="s">
        <v>310</v>
      </c>
      <c r="G6" s="391"/>
      <c r="H6" s="228"/>
      <c r="I6" s="391"/>
      <c r="J6" s="228"/>
      <c r="K6" s="67" t="s">
        <v>944</v>
      </c>
      <c r="V6" s="11">
        <v>0</v>
      </c>
    </row>
    <row r="7" spans="1:22" ht="15" hidden="1" customHeight="1">
      <c r="A7" s="11"/>
      <c r="B7" s="1385"/>
      <c r="C7" s="1386"/>
      <c r="D7" s="393" t="str">
        <f>B6&amp;".2"</f>
        <v>.2</v>
      </c>
      <c r="E7" s="394" t="s">
        <v>941</v>
      </c>
      <c r="F7" s="395" t="s">
        <v>310</v>
      </c>
      <c r="G7" s="947" t="s">
        <v>22</v>
      </c>
      <c r="H7" s="228"/>
      <c r="I7" s="947" t="s">
        <v>22</v>
      </c>
      <c r="J7" s="228"/>
      <c r="K7" s="67" t="s">
        <v>942</v>
      </c>
      <c r="V7" s="11">
        <v>0</v>
      </c>
    </row>
    <row r="8" spans="1:22" s="63" customFormat="1" ht="15" hidden="1" customHeight="1">
      <c r="C8" s="301"/>
      <c r="U8" s="236"/>
      <c r="V8" s="63">
        <v>0</v>
      </c>
    </row>
    <row r="9" spans="1:22" ht="22.5" hidden="1" customHeight="1">
      <c r="A9" s="11"/>
      <c r="B9" s="1385"/>
      <c r="C9" s="1386" t="s">
        <v>104</v>
      </c>
      <c r="D9" s="393" t="str">
        <f>B9&amp;".1"</f>
        <v>.1</v>
      </c>
      <c r="E9" s="394" t="s">
        <v>945</v>
      </c>
      <c r="F9" s="395" t="s">
        <v>310</v>
      </c>
      <c r="G9" s="401" t="s">
        <v>22</v>
      </c>
      <c r="H9" s="228" t="s">
        <v>22</v>
      </c>
      <c r="I9" s="1108" t="s">
        <v>22</v>
      </c>
      <c r="J9" s="1109" t="s">
        <v>22</v>
      </c>
      <c r="K9" s="67"/>
      <c r="V9" s="11">
        <v>0</v>
      </c>
    </row>
    <row r="10" spans="1:22" ht="15" hidden="1" customHeight="1">
      <c r="A10" s="11"/>
      <c r="B10" s="1385"/>
      <c r="C10" s="1386"/>
      <c r="D10" s="393" t="str">
        <f>B9&amp;".2"</f>
        <v>.2</v>
      </c>
      <c r="E10" s="394" t="s">
        <v>946</v>
      </c>
      <c r="F10" s="395" t="s">
        <v>310</v>
      </c>
      <c r="G10" s="941" t="s">
        <v>22</v>
      </c>
      <c r="H10" s="228" t="s">
        <v>22</v>
      </c>
      <c r="I10" s="1110" t="s">
        <v>22</v>
      </c>
      <c r="J10" s="1109" t="s">
        <v>22</v>
      </c>
      <c r="K10" s="67" t="s">
        <v>947</v>
      </c>
      <c r="V10" s="11">
        <v>0</v>
      </c>
    </row>
    <row r="11" spans="1:22" ht="15" hidden="1" customHeight="1">
      <c r="A11" s="11"/>
      <c r="B11" s="1385"/>
      <c r="C11" s="1386"/>
      <c r="D11" s="393" t="str">
        <f>B9&amp;".3"</f>
        <v>.3</v>
      </c>
      <c r="E11" s="394" t="s">
        <v>948</v>
      </c>
      <c r="F11" s="395" t="s">
        <v>310</v>
      </c>
      <c r="G11" s="941" t="s">
        <v>22</v>
      </c>
      <c r="H11" s="228" t="s">
        <v>22</v>
      </c>
      <c r="I11" s="1110" t="s">
        <v>22</v>
      </c>
      <c r="J11" s="1109" t="s">
        <v>22</v>
      </c>
      <c r="K11" s="67" t="s">
        <v>949</v>
      </c>
      <c r="V11" s="11">
        <v>0</v>
      </c>
    </row>
    <row r="12" spans="1:22" s="63" customFormat="1" ht="15" hidden="1" customHeight="1">
      <c r="C12" s="301"/>
      <c r="U12" s="236"/>
      <c r="V12" s="63">
        <v>0</v>
      </c>
    </row>
    <row r="13" spans="1:22" ht="33.75" hidden="1" customHeight="1">
      <c r="A13" s="11"/>
      <c r="B13" s="1385"/>
      <c r="C13" s="1386" t="s">
        <v>104</v>
      </c>
      <c r="D13" s="393" t="str">
        <f>B13&amp;".1"</f>
        <v>.1</v>
      </c>
      <c r="E13" s="394" t="s">
        <v>950</v>
      </c>
      <c r="F13" s="395" t="s">
        <v>310</v>
      </c>
      <c r="G13" s="401" t="s">
        <v>22</v>
      </c>
      <c r="H13" s="228" t="s">
        <v>22</v>
      </c>
      <c r="I13" s="1108" t="s">
        <v>22</v>
      </c>
      <c r="J13" s="1109" t="s">
        <v>22</v>
      </c>
      <c r="K13" s="67" t="s">
        <v>951</v>
      </c>
      <c r="V13" s="11">
        <v>0</v>
      </c>
    </row>
    <row r="14" spans="1:22" ht="15" hidden="1" customHeight="1">
      <c r="B14" s="1385"/>
      <c r="C14" s="1386"/>
      <c r="D14" s="393" t="str">
        <f>B13&amp;".2"</f>
        <v>.2</v>
      </c>
      <c r="E14" s="394" t="s">
        <v>952</v>
      </c>
      <c r="F14" s="395" t="s">
        <v>310</v>
      </c>
      <c r="G14" s="941" t="s">
        <v>22</v>
      </c>
      <c r="H14" s="228" t="s">
        <v>22</v>
      </c>
      <c r="I14" s="1110" t="s">
        <v>22</v>
      </c>
      <c r="J14" s="1109" t="s">
        <v>22</v>
      </c>
      <c r="K14" s="67" t="s">
        <v>953</v>
      </c>
      <c r="V14" s="11">
        <v>0</v>
      </c>
    </row>
    <row r="15" spans="1:22" s="63" customFormat="1" ht="15" hidden="1" customHeight="1">
      <c r="C15" s="301"/>
      <c r="U15" s="236"/>
      <c r="V15" s="63">
        <v>0</v>
      </c>
    </row>
    <row r="16" spans="1:22" s="63" customFormat="1" ht="15" hidden="1" customHeight="1">
      <c r="C16" s="301"/>
      <c r="U16" s="236"/>
      <c r="V16" s="63">
        <v>0</v>
      </c>
    </row>
    <row r="17" spans="1:22" s="63" customFormat="1" ht="15" hidden="1" customHeight="1">
      <c r="C17" s="301"/>
      <c r="U17" s="236"/>
      <c r="V17" s="63">
        <v>0</v>
      </c>
    </row>
    <row r="18" spans="1:22" s="63" customFormat="1" ht="15" hidden="1" customHeight="1">
      <c r="C18" s="301"/>
      <c r="U18" s="236"/>
      <c r="V18" s="63">
        <v>0</v>
      </c>
    </row>
    <row r="19" spans="1:22" s="63" customFormat="1" ht="15" hidden="1" customHeight="1">
      <c r="C19" s="301"/>
      <c r="U19" s="236"/>
      <c r="V19" s="63">
        <v>0</v>
      </c>
    </row>
    <row r="20" spans="1:22" s="63" customFormat="1" ht="15" hidden="1" customHeight="1">
      <c r="C20" s="301"/>
      <c r="U20" s="236"/>
      <c r="V20" s="63">
        <v>0</v>
      </c>
    </row>
    <row r="21" spans="1:22" ht="15.75" customHeight="1">
      <c r="V21" s="11">
        <v>15</v>
      </c>
    </row>
    <row r="22" spans="1:22" ht="23.25" customHeight="1">
      <c r="D22" s="125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1256"/>
      <c r="F22" s="1256"/>
      <c r="G22" s="1256"/>
      <c r="H22" s="1256"/>
      <c r="I22" s="1256"/>
      <c r="J22" s="342"/>
      <c r="V22" s="11">
        <v>22</v>
      </c>
    </row>
    <row r="23" spans="1:22" ht="15.75" customHeight="1">
      <c r="D23" s="1229" t="str">
        <f>IF(org=0,"Не определено",org)</f>
        <v>ООО "Инженерные сети"</v>
      </c>
      <c r="E23" s="1229"/>
      <c r="F23" s="1229"/>
      <c r="G23" s="1229"/>
      <c r="H23" s="1229"/>
      <c r="I23" s="1229"/>
      <c r="J23" s="342"/>
      <c r="V23" s="11">
        <v>15</v>
      </c>
    </row>
    <row r="24" spans="1:22" ht="15.75" customHeight="1">
      <c r="G24" s="63">
        <v>22</v>
      </c>
      <c r="H24" s="435"/>
      <c r="I24" s="63">
        <v>22</v>
      </c>
      <c r="J24" s="435"/>
      <c r="V24" s="11">
        <v>15</v>
      </c>
    </row>
    <row r="25" spans="1:22" s="11" customFormat="1" ht="1.1499999999999999" customHeight="1">
      <c r="A25" s="8"/>
      <c r="C25" s="87"/>
      <c r="G25" s="63"/>
      <c r="H25" s="435"/>
      <c r="I25" s="63" t="s">
        <v>122</v>
      </c>
      <c r="J25" s="435"/>
      <c r="K25" s="63"/>
      <c r="U25" s="302"/>
      <c r="V25" s="11">
        <v>1</v>
      </c>
    </row>
    <row r="26" spans="1:22" ht="15.75" customHeight="1">
      <c r="D26" s="409"/>
      <c r="E26" s="1362" t="s">
        <v>111</v>
      </c>
      <c r="F26" s="1363"/>
      <c r="G26" s="1387" t="str">
        <f>IF(G25="","",INDEX(DIFFERENTIATION_UNMERGE_VD,MATCH(G25,DIFFERENTIATION_ID_DIFF,0)))</f>
        <v/>
      </c>
      <c r="H26" s="1388"/>
      <c r="I26" s="1387" t="str">
        <f>IF(I25="","",INDEX(DIFFERENTIATION_UNMERGE_VD,MATCH(I25,DIFFERENTIATION_ID_DIFF,0)))</f>
        <v>Производство тепловой энергии. Некомбинированная выработка</v>
      </c>
      <c r="J26" s="1388"/>
      <c r="K26" s="1207" t="s">
        <v>305</v>
      </c>
      <c r="V26" s="11">
        <v>15</v>
      </c>
    </row>
    <row r="27" spans="1:22" s="11" customFormat="1" ht="15.75" customHeight="1">
      <c r="A27" s="8"/>
      <c r="C27" s="87"/>
      <c r="D27" s="409"/>
      <c r="E27" s="1362" t="s">
        <v>568</v>
      </c>
      <c r="F27" s="1363"/>
      <c r="G27" s="1387" t="str">
        <f>IF(G25="","",INDEX(DIFFERENTIATION_UNMERGE_AREA,MATCH(G25,DIFFERENTIATION_ID_DIFF,0)))</f>
        <v/>
      </c>
      <c r="H27" s="1388"/>
      <c r="I27" s="1387" t="str">
        <f>IF(I25="","",INDEX(DIFFERENTIATION_UNMERGE_AREA,MATCH(I25,DIFFERENTIATION_ID_DIFF,0)))</f>
        <v>Территория 1</v>
      </c>
      <c r="J27" s="1388"/>
      <c r="K27" s="1211"/>
      <c r="U27" s="302"/>
      <c r="V27" s="11">
        <v>15</v>
      </c>
    </row>
    <row r="28" spans="1:22" s="11" customFormat="1" ht="15.75" customHeight="1">
      <c r="A28" s="8"/>
      <c r="C28" s="87"/>
      <c r="D28" s="409"/>
      <c r="E28" s="1362" t="s">
        <v>569</v>
      </c>
      <c r="F28" s="1363"/>
      <c r="G28" s="1387" t="str">
        <f>IF(G25="","",INDEX(DIFFERENTIATION_UNMERGE_SYSTEM,MATCH(G25,DIFFERENTIATION_ID_DIFF,0)))</f>
        <v/>
      </c>
      <c r="H28" s="1388"/>
      <c r="I28" s="1387" t="str">
        <f>IF(I25="","",INDEX(DIFFERENTIATION_UNMERGE_SYSTEM,MATCH(I25,DIFFERENTIATION_ID_DIFF,0)))</f>
        <v>без дифференциации</v>
      </c>
      <c r="J28" s="1388"/>
      <c r="K28" s="1211"/>
      <c r="U28" s="302"/>
      <c r="V28" s="11">
        <v>15</v>
      </c>
    </row>
    <row r="29" spans="1:22" s="11" customFormat="1" ht="15.75" customHeight="1">
      <c r="A29" s="8"/>
      <c r="C29" s="87"/>
      <c r="D29" s="1364" t="s">
        <v>304</v>
      </c>
      <c r="E29" s="1365"/>
      <c r="F29" s="1365"/>
      <c r="G29" s="512"/>
      <c r="H29" s="512"/>
      <c r="I29" s="512"/>
      <c r="J29" s="513"/>
      <c r="K29" s="1211"/>
      <c r="U29" s="302"/>
      <c r="V29" s="11">
        <v>15</v>
      </c>
    </row>
    <row r="30" spans="1:22" ht="35.65" customHeight="1">
      <c r="D30" s="41" t="s">
        <v>88</v>
      </c>
      <c r="E30" s="41" t="s">
        <v>306</v>
      </c>
      <c r="F30" s="41" t="s">
        <v>570</v>
      </c>
      <c r="G30" s="389" t="s">
        <v>307</v>
      </c>
      <c r="H30" s="41" t="s">
        <v>394</v>
      </c>
      <c r="I30" s="389" t="s">
        <v>307</v>
      </c>
      <c r="J30" s="41" t="s">
        <v>394</v>
      </c>
      <c r="K30" s="1214"/>
      <c r="V30" s="11">
        <v>34</v>
      </c>
    </row>
    <row r="31" spans="1:22" ht="15" hidden="1" customHeight="1">
      <c r="D31" s="344"/>
      <c r="E31" s="344"/>
      <c r="F31" s="344"/>
      <c r="G31" s="87"/>
      <c r="H31" s="87"/>
      <c r="I31" s="87"/>
      <c r="J31" s="87"/>
      <c r="K31" s="67"/>
      <c r="V31" s="11">
        <v>0</v>
      </c>
    </row>
    <row r="32" spans="1:22" ht="24" customHeight="1">
      <c r="A32" s="11"/>
      <c r="B32" s="11" t="s">
        <v>954</v>
      </c>
      <c r="C32" s="77"/>
      <c r="D32" s="396">
        <v>1</v>
      </c>
      <c r="E32" s="397" t="s">
        <v>955</v>
      </c>
      <c r="F32" s="395" t="s">
        <v>310</v>
      </c>
      <c r="G32" s="395" t="s">
        <v>310</v>
      </c>
      <c r="H32" s="395" t="s">
        <v>310</v>
      </c>
      <c r="I32" s="395" t="s">
        <v>310</v>
      </c>
      <c r="J32" s="395" t="s">
        <v>310</v>
      </c>
      <c r="K32" s="67"/>
      <c r="V32" s="11">
        <v>23</v>
      </c>
    </row>
    <row r="33" spans="1:22" ht="11.45" customHeight="1">
      <c r="A33" s="11"/>
      <c r="C33" s="11"/>
      <c r="D33" s="40"/>
      <c r="E33" s="110" t="s">
        <v>590</v>
      </c>
      <c r="F33" s="334"/>
      <c r="G33" s="334"/>
      <c r="H33" s="334"/>
      <c r="I33" s="334"/>
      <c r="J33" s="334"/>
      <c r="K33" s="335"/>
      <c r="U33" s="11"/>
      <c r="V33" s="11">
        <v>11</v>
      </c>
    </row>
    <row r="34" spans="1:22" ht="24" customHeight="1">
      <c r="A34" s="11"/>
      <c r="B34" s="342" t="s">
        <v>640</v>
      </c>
      <c r="C34" s="77"/>
      <c r="D34" s="396">
        <v>2</v>
      </c>
      <c r="E34" s="397" t="s">
        <v>956</v>
      </c>
      <c r="F34" s="395" t="s">
        <v>310</v>
      </c>
      <c r="G34" s="395" t="s">
        <v>310</v>
      </c>
      <c r="H34" s="395" t="s">
        <v>310</v>
      </c>
      <c r="I34" s="395"/>
      <c r="J34" s="395"/>
      <c r="K34" s="67"/>
      <c r="V34" s="11">
        <v>23</v>
      </c>
    </row>
    <row r="35" spans="1:22" ht="11.45" customHeight="1">
      <c r="A35" s="11"/>
      <c r="C35" s="11"/>
      <c r="D35" s="40"/>
      <c r="E35" s="110" t="s">
        <v>957</v>
      </c>
      <c r="F35" s="334"/>
      <c r="G35" s="398"/>
      <c r="H35" s="334"/>
      <c r="I35" s="398"/>
      <c r="J35" s="334"/>
      <c r="K35" s="335"/>
      <c r="U35" s="11"/>
      <c r="V35" s="11">
        <v>11</v>
      </c>
    </row>
    <row r="36" spans="1:22" ht="71.25" customHeight="1">
      <c r="A36" s="11"/>
      <c r="B36" s="11" t="s">
        <v>958</v>
      </c>
      <c r="C36" s="77"/>
      <c r="D36" s="396">
        <v>3</v>
      </c>
      <c r="E36" s="397" t="s">
        <v>959</v>
      </c>
      <c r="F36" s="399" t="s">
        <v>310</v>
      </c>
      <c r="G36" s="297" t="s">
        <v>960</v>
      </c>
      <c r="H36" s="395" t="s">
        <v>310</v>
      </c>
      <c r="I36" s="297" t="s">
        <v>961</v>
      </c>
      <c r="J36" s="395" t="s">
        <v>310</v>
      </c>
      <c r="K36" s="67" t="s">
        <v>962</v>
      </c>
      <c r="V36" s="11">
        <v>68</v>
      </c>
    </row>
    <row r="37" spans="1:22" ht="11.45" customHeight="1">
      <c r="A37" s="11"/>
      <c r="C37" s="11"/>
      <c r="D37" s="40"/>
      <c r="E37" s="110" t="s">
        <v>963</v>
      </c>
      <c r="F37" s="334"/>
      <c r="G37" s="398"/>
      <c r="H37" s="398"/>
      <c r="I37" s="398"/>
      <c r="J37" s="398"/>
      <c r="K37" s="335"/>
      <c r="U37" s="11"/>
      <c r="V37" s="11">
        <v>11</v>
      </c>
    </row>
    <row r="38" spans="1:22" ht="71.25" customHeight="1">
      <c r="A38" s="11"/>
      <c r="B38" s="11" t="s">
        <v>964</v>
      </c>
      <c r="C38" s="77"/>
      <c r="D38" s="396">
        <v>4</v>
      </c>
      <c r="E38" s="397" t="s">
        <v>965</v>
      </c>
      <c r="F38" s="399" t="s">
        <v>310</v>
      </c>
      <c r="G38" s="297" t="s">
        <v>960</v>
      </c>
      <c r="H38" s="41" t="s">
        <v>310</v>
      </c>
      <c r="I38" s="297" t="s">
        <v>961</v>
      </c>
      <c r="J38" s="41" t="s">
        <v>310</v>
      </c>
      <c r="K38" s="385" t="s">
        <v>966</v>
      </c>
      <c r="V38" s="11">
        <v>68</v>
      </c>
    </row>
    <row r="39" spans="1:22" ht="11.45" customHeight="1">
      <c r="A39" s="11"/>
      <c r="C39" s="11"/>
      <c r="D39" s="40"/>
      <c r="E39" s="110" t="s">
        <v>967</v>
      </c>
      <c r="F39" s="334"/>
      <c r="G39" s="334"/>
      <c r="H39" s="400"/>
      <c r="I39" s="334"/>
      <c r="J39" s="400"/>
      <c r="K39" s="335"/>
      <c r="U39" s="11"/>
      <c r="V39" s="11">
        <v>11</v>
      </c>
    </row>
    <row r="40" spans="1:22" ht="22.5" hidden="1" customHeight="1">
      <c r="A40" s="8" t="s">
        <v>82</v>
      </c>
      <c r="B40" s="11">
        <v>0</v>
      </c>
      <c r="C40" s="87">
        <v>4</v>
      </c>
      <c r="D40" s="11">
        <v>6</v>
      </c>
      <c r="E40" s="11">
        <v>36</v>
      </c>
      <c r="F40" s="11">
        <v>9</v>
      </c>
      <c r="G40" s="11">
        <v>0</v>
      </c>
      <c r="H40" s="11">
        <v>0</v>
      </c>
      <c r="I40" s="11">
        <v>25</v>
      </c>
      <c r="J40" s="11">
        <v>33</v>
      </c>
      <c r="K40" s="63">
        <v>93</v>
      </c>
      <c r="L40" s="11">
        <v>10</v>
      </c>
      <c r="M40" s="11">
        <v>10</v>
      </c>
      <c r="N40" s="11">
        <v>10</v>
      </c>
      <c r="O40" s="11">
        <v>10</v>
      </c>
      <c r="P40" s="11">
        <v>10</v>
      </c>
      <c r="Q40" s="11">
        <v>10</v>
      </c>
      <c r="R40" s="11">
        <v>10</v>
      </c>
      <c r="S40" s="11">
        <v>10</v>
      </c>
      <c r="T40" s="11">
        <v>10</v>
      </c>
      <c r="U40" s="302">
        <v>10</v>
      </c>
      <c r="V40" s="1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0866141732283472" right="0.70866141732283472" top="0.74803149606299213" bottom="0.74803149606299213" header="0.31496062992125984" footer="0.31496062992125984"/>
  <pageSetup paperSize="9" scale="7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8C515-C354-D8D5-F013-19208F798209}">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303" hidden="1" customWidth="1"/>
    <col min="4" max="4" width="6.71093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968</v>
      </c>
      <c r="AE3" s="8">
        <v>0</v>
      </c>
    </row>
    <row r="4" spans="1:31" ht="3" customHeight="1">
      <c r="AE4" s="11">
        <v>3</v>
      </c>
    </row>
    <row r="5" spans="1:31" ht="27.4" customHeight="1">
      <c r="F5" s="125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56"/>
      <c r="H5" s="1256"/>
      <c r="I5" s="1256"/>
      <c r="J5" s="1256"/>
      <c r="K5" s="1256"/>
      <c r="M5" s="17"/>
      <c r="AE5" s="11">
        <v>26</v>
      </c>
    </row>
    <row r="6" spans="1:31" s="11" customFormat="1" ht="16.899999999999999" customHeight="1">
      <c r="A6" s="303"/>
      <c r="B6" s="303"/>
      <c r="C6" s="303"/>
      <c r="D6" s="63"/>
      <c r="F6" s="1229" t="str">
        <f>IF(org=0,"Не определено",org)</f>
        <v>ООО "Инженерные сети"</v>
      </c>
      <c r="G6" s="1229"/>
      <c r="H6" s="1229"/>
      <c r="I6" s="1229"/>
      <c r="J6" s="1229"/>
      <c r="K6" s="1229"/>
      <c r="M6" s="17"/>
      <c r="AE6" s="11">
        <v>16</v>
      </c>
    </row>
    <row r="7" spans="1:31" ht="10.5" customHeight="1">
      <c r="AE7" s="11">
        <v>10</v>
      </c>
    </row>
    <row r="8" spans="1:31" ht="10.5" customHeight="1">
      <c r="F8" s="1129" t="s">
        <v>304</v>
      </c>
      <c r="G8" s="1135"/>
      <c r="H8" s="1135"/>
      <c r="I8" s="1135"/>
      <c r="J8" s="1135"/>
      <c r="K8" s="1135"/>
      <c r="L8" s="1135"/>
      <c r="M8" s="1135"/>
      <c r="N8" s="1135"/>
      <c r="O8" s="1135"/>
      <c r="P8" s="1135"/>
      <c r="Q8" s="1135"/>
      <c r="R8" s="1135"/>
      <c r="S8" s="1135"/>
      <c r="T8" s="1135"/>
      <c r="U8" s="1135"/>
      <c r="V8" s="1135"/>
      <c r="W8" s="1135"/>
      <c r="X8" s="1135"/>
      <c r="Y8" s="1135"/>
      <c r="Z8" s="1135"/>
      <c r="AA8" s="1135"/>
      <c r="AB8" s="1128"/>
      <c r="AE8" s="11">
        <v>10</v>
      </c>
    </row>
    <row r="9" spans="1:31" ht="43.15" customHeight="1">
      <c r="A9" s="526"/>
      <c r="B9" s="526"/>
      <c r="C9" s="526"/>
      <c r="F9" s="1148" t="s">
        <v>88</v>
      </c>
      <c r="G9" s="1148" t="s">
        <v>968</v>
      </c>
      <c r="H9" s="1207" t="s">
        <v>969</v>
      </c>
      <c r="I9" s="1148" t="s">
        <v>970</v>
      </c>
      <c r="J9" s="1148" t="s">
        <v>971</v>
      </c>
      <c r="K9" s="1148" t="s">
        <v>972</v>
      </c>
      <c r="L9" s="1148" t="s">
        <v>973</v>
      </c>
      <c r="M9" s="1148" t="s">
        <v>974</v>
      </c>
      <c r="N9" s="1237" t="s">
        <v>975</v>
      </c>
      <c r="O9" s="1237"/>
      <c r="P9" s="1237"/>
      <c r="Q9" s="1289" t="s">
        <v>976</v>
      </c>
      <c r="R9" s="1290"/>
      <c r="S9" s="1290"/>
      <c r="T9" s="1291"/>
      <c r="U9" s="1289" t="s">
        <v>977</v>
      </c>
      <c r="V9" s="1290"/>
      <c r="W9" s="1290"/>
      <c r="X9" s="1291"/>
      <c r="Y9" s="1129" t="s">
        <v>978</v>
      </c>
      <c r="Z9" s="1135"/>
      <c r="AA9" s="1135"/>
      <c r="AB9" s="1128"/>
      <c r="AE9" s="11">
        <v>41</v>
      </c>
    </row>
    <row r="10" spans="1:31" ht="43.15" customHeight="1">
      <c r="A10" s="526"/>
      <c r="B10" s="526"/>
      <c r="C10" s="526"/>
      <c r="F10" s="1207"/>
      <c r="G10" s="1207"/>
      <c r="H10" s="1261"/>
      <c r="I10" s="1207"/>
      <c r="J10" s="1207"/>
      <c r="K10" s="1207"/>
      <c r="L10" s="1207"/>
      <c r="M10" s="1207"/>
      <c r="N10" s="524" t="s">
        <v>979</v>
      </c>
      <c r="O10" s="524" t="s">
        <v>980</v>
      </c>
      <c r="P10" s="525" t="s">
        <v>981</v>
      </c>
      <c r="Q10" s="524" t="s">
        <v>89</v>
      </c>
      <c r="R10" s="524" t="s">
        <v>982</v>
      </c>
      <c r="S10" s="524" t="s">
        <v>983</v>
      </c>
      <c r="T10" s="528" t="s">
        <v>984</v>
      </c>
      <c r="U10" s="524" t="s">
        <v>89</v>
      </c>
      <c r="V10" s="524" t="s">
        <v>985</v>
      </c>
      <c r="W10" s="524" t="s">
        <v>983</v>
      </c>
      <c r="X10" s="528" t="s">
        <v>984</v>
      </c>
      <c r="Y10" s="172" t="s">
        <v>986</v>
      </c>
      <c r="Z10" s="1129" t="s">
        <v>88</v>
      </c>
      <c r="AA10" s="1128"/>
      <c r="AB10" s="41" t="s">
        <v>987</v>
      </c>
      <c r="AE10" s="11">
        <v>41</v>
      </c>
    </row>
    <row r="11" spans="1:31" s="68" customFormat="1" ht="5.25" hidden="1" customHeight="1">
      <c r="A11" s="313"/>
      <c r="B11" s="313"/>
      <c r="C11" s="313"/>
      <c r="E11" s="122"/>
      <c r="F11" s="1391" t="s">
        <v>380</v>
      </c>
      <c r="G11" s="1393"/>
      <c r="H11" s="1389"/>
      <c r="I11" s="1389"/>
      <c r="J11" s="1389"/>
      <c r="K11" s="1392"/>
      <c r="L11" s="1392"/>
      <c r="M11" s="1392"/>
      <c r="N11" s="1389"/>
      <c r="O11" s="1389"/>
      <c r="P11" s="1148"/>
      <c r="Q11" s="1217"/>
      <c r="R11" s="1217"/>
      <c r="S11" s="1217"/>
      <c r="T11" s="1389"/>
      <c r="U11" s="1217"/>
      <c r="V11" s="1217"/>
      <c r="W11" s="1217"/>
      <c r="X11" s="1389"/>
      <c r="Y11" s="1159"/>
      <c r="Z11" s="1159"/>
      <c r="AA11" s="1159"/>
      <c r="AB11" s="1159"/>
      <c r="AD11" s="68" t="s">
        <v>988</v>
      </c>
      <c r="AE11" s="68">
        <v>0</v>
      </c>
    </row>
    <row r="12" spans="1:31" s="68" customFormat="1" ht="5.25" hidden="1" customHeight="1">
      <c r="A12" s="313"/>
      <c r="B12" s="313"/>
      <c r="C12" s="313"/>
      <c r="F12" s="1391"/>
      <c r="G12" s="1393"/>
      <c r="H12" s="1389"/>
      <c r="I12" s="1389"/>
      <c r="J12" s="1389"/>
      <c r="K12" s="1392"/>
      <c r="L12" s="1392"/>
      <c r="M12" s="1392"/>
      <c r="N12" s="1389"/>
      <c r="O12" s="1389"/>
      <c r="P12" s="1148"/>
      <c r="Q12" s="1217"/>
      <c r="R12" s="1217"/>
      <c r="S12" s="1217"/>
      <c r="T12" s="1389"/>
      <c r="U12" s="1217"/>
      <c r="V12" s="1217"/>
      <c r="W12" s="1217"/>
      <c r="X12" s="1389"/>
      <c r="Y12" s="1390"/>
      <c r="Z12" s="1390"/>
      <c r="AA12" s="1390"/>
      <c r="AB12" s="1390"/>
      <c r="AE12" s="68">
        <v>0</v>
      </c>
    </row>
    <row r="13" spans="1:31" ht="10.5" customHeight="1">
      <c r="F13" s="169"/>
      <c r="G13" s="110" t="s">
        <v>989</v>
      </c>
      <c r="H13" s="110"/>
      <c r="I13" s="334"/>
      <c r="J13" s="334"/>
      <c r="K13" s="334"/>
      <c r="L13" s="334"/>
      <c r="M13" s="334"/>
      <c r="N13" s="334"/>
      <c r="O13" s="334"/>
      <c r="P13" s="334"/>
      <c r="Q13" s="334"/>
      <c r="R13" s="334"/>
      <c r="S13" s="334"/>
      <c r="T13" s="334"/>
      <c r="U13" s="334"/>
      <c r="V13" s="334"/>
      <c r="W13" s="334"/>
      <c r="X13" s="334"/>
      <c r="Y13" s="334"/>
      <c r="Z13" s="400"/>
      <c r="AA13" s="400"/>
      <c r="AB13" s="529"/>
      <c r="AE13" s="11">
        <v>10</v>
      </c>
    </row>
    <row r="14" spans="1:31" ht="10.5" customHeight="1">
      <c r="AE14" s="11">
        <v>10</v>
      </c>
    </row>
    <row r="15" spans="1:31" s="68" customFormat="1" ht="10.5" customHeight="1">
      <c r="A15" s="313"/>
      <c r="B15" s="313"/>
      <c r="C15" s="313"/>
      <c r="H15" s="68">
        <f>IFERROR(MATCH("нет",IP_MAIN_DIFFERENTIATION_EVENTS_FLAG,0),0)</f>
        <v>0</v>
      </c>
      <c r="AE15" s="68">
        <v>10</v>
      </c>
    </row>
    <row r="16" spans="1:31" ht="10.5" hidden="1" customHeight="1">
      <c r="A16" s="303" t="s">
        <v>82</v>
      </c>
      <c r="B16" s="303">
        <v>0</v>
      </c>
      <c r="C16" s="303">
        <v>0</v>
      </c>
      <c r="D16" s="63">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789C2-43E9-120D-7E1A-4DDFFE2CF387}">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303" hidden="1" customWidth="1"/>
    <col min="4" max="4" width="4.140625" style="63"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hidden="1" customWidth="1"/>
    <col min="31" max="31" width="15.7109375" style="11" hidden="1" customWidth="1"/>
    <col min="32" max="34" width="16" style="11" customWidth="1"/>
    <col min="35" max="37" width="16.7109375" style="11" hidden="1" customWidth="1"/>
    <col min="38" max="58" width="8" style="11" customWidth="1"/>
    <col min="59" max="59" width="9.1406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4" customHeight="1">
      <c r="F5" s="125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56"/>
      <c r="H5" s="1256"/>
      <c r="I5" s="1256"/>
      <c r="J5" s="1256"/>
      <c r="K5" s="1256"/>
      <c r="L5" s="668"/>
      <c r="M5" s="668"/>
      <c r="BG5" s="11">
        <v>26</v>
      </c>
    </row>
    <row r="6" spans="1:59" ht="10.5" customHeight="1">
      <c r="F6" s="1229" t="str">
        <f>IF(org=0,"Не определено",org)</f>
        <v>ООО "Инженерные сети"</v>
      </c>
      <c r="G6" s="1229"/>
      <c r="H6" s="1229"/>
      <c r="I6" s="1229"/>
      <c r="J6" s="1229"/>
      <c r="K6" s="1229"/>
      <c r="L6" s="668"/>
      <c r="M6" s="668"/>
      <c r="BG6" s="11">
        <v>10</v>
      </c>
    </row>
    <row r="7" spans="1:59" ht="11.4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396" t="s">
        <v>304</v>
      </c>
      <c r="G8" s="1397"/>
      <c r="H8" s="1397"/>
      <c r="I8" s="1397"/>
      <c r="J8" s="1397"/>
      <c r="K8" s="1397"/>
      <c r="L8" s="1397"/>
      <c r="M8" s="1397"/>
      <c r="N8" s="1397"/>
      <c r="O8" s="1397"/>
      <c r="P8" s="1397"/>
      <c r="Q8" s="1397"/>
      <c r="R8" s="1397"/>
      <c r="S8" s="1397"/>
      <c r="T8" s="1397"/>
      <c r="U8" s="1397"/>
      <c r="V8" s="1397"/>
      <c r="W8" s="1397"/>
      <c r="X8" s="1397"/>
      <c r="Y8" s="1397"/>
      <c r="Z8" s="1397"/>
      <c r="AA8" s="1397"/>
      <c r="AB8" s="1397"/>
      <c r="AC8" s="1397"/>
      <c r="AD8" s="1397"/>
      <c r="AE8" s="1397"/>
      <c r="AF8" s="1397"/>
      <c r="AG8" s="1397"/>
      <c r="AH8" s="1397"/>
      <c r="AI8" s="1397"/>
      <c r="AJ8" s="1397"/>
      <c r="AK8" s="1398"/>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37" t="s">
        <v>990</v>
      </c>
      <c r="G9" s="1337" t="s">
        <v>991</v>
      </c>
      <c r="H9" s="1378"/>
      <c r="I9" s="1148" t="s">
        <v>992</v>
      </c>
      <c r="J9" s="1148"/>
      <c r="K9" s="1148" t="s">
        <v>993</v>
      </c>
      <c r="L9" s="1148"/>
      <c r="M9" s="1148"/>
      <c r="N9" s="1148"/>
      <c r="O9" s="1148"/>
      <c r="P9" s="1148"/>
      <c r="Q9" s="1148"/>
      <c r="R9" s="1148"/>
      <c r="S9" s="1148"/>
      <c r="T9" s="1148"/>
      <c r="U9" s="1148"/>
      <c r="V9" s="1148"/>
      <c r="W9" s="1148"/>
      <c r="X9" s="1148"/>
      <c r="Y9" s="1148"/>
      <c r="Z9" s="1208" t="s">
        <v>994</v>
      </c>
      <c r="AA9" s="1209"/>
      <c r="AB9" s="1148" t="s">
        <v>995</v>
      </c>
      <c r="AC9" s="1148"/>
      <c r="AD9" s="1148"/>
      <c r="AE9" s="1148"/>
      <c r="AF9" s="1207" t="s">
        <v>996</v>
      </c>
      <c r="AG9" s="1148" t="s">
        <v>997</v>
      </c>
      <c r="AH9" s="1148"/>
      <c r="AI9" s="1207" t="s">
        <v>998</v>
      </c>
      <c r="AJ9" s="1148" t="s">
        <v>999</v>
      </c>
      <c r="AK9" s="1148"/>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6"/>
      <c r="B10" s="526"/>
      <c r="C10" s="526"/>
      <c r="E10" s="10"/>
      <c r="F10" s="1237"/>
      <c r="G10" s="1338"/>
      <c r="H10" s="1241"/>
      <c r="I10" s="1148"/>
      <c r="J10" s="1148"/>
      <c r="K10" s="1148" t="s">
        <v>1000</v>
      </c>
      <c r="L10" s="1129" t="s">
        <v>1001</v>
      </c>
      <c r="M10" s="1128"/>
      <c r="N10" s="1148" t="s">
        <v>1002</v>
      </c>
      <c r="O10" s="1148"/>
      <c r="P10" s="1148"/>
      <c r="Q10" s="1148"/>
      <c r="R10" s="1148"/>
      <c r="S10" s="1148"/>
      <c r="T10" s="1148"/>
      <c r="U10" s="1148"/>
      <c r="V10" s="1148"/>
      <c r="W10" s="1148"/>
      <c r="X10" s="1148"/>
      <c r="Y10" s="1148"/>
      <c r="Z10" s="1210"/>
      <c r="AA10" s="1211"/>
      <c r="AB10" s="1148"/>
      <c r="AC10" s="1148"/>
      <c r="AD10" s="1148"/>
      <c r="AE10" s="1148"/>
      <c r="AF10" s="1212"/>
      <c r="AG10" s="1148"/>
      <c r="AH10" s="1148"/>
      <c r="AI10" s="1212"/>
      <c r="AJ10" s="1148"/>
      <c r="AK10" s="1148"/>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6"/>
      <c r="B11" s="526"/>
      <c r="C11" s="526"/>
      <c r="D11" s="63"/>
      <c r="E11" s="10"/>
      <c r="F11" s="1237"/>
      <c r="G11" s="1338"/>
      <c r="H11" s="1241"/>
      <c r="I11" s="1148"/>
      <c r="J11" s="1148"/>
      <c r="K11" s="1148"/>
      <c r="L11" s="1207" t="s">
        <v>1003</v>
      </c>
      <c r="M11" s="1207" t="s">
        <v>1004</v>
      </c>
      <c r="N11" s="1148" t="s">
        <v>1005</v>
      </c>
      <c r="O11" s="1148"/>
      <c r="P11" s="1205" t="s">
        <v>986</v>
      </c>
      <c r="Q11" s="1205" t="s">
        <v>1006</v>
      </c>
      <c r="R11" s="1205" t="s">
        <v>1007</v>
      </c>
      <c r="S11" s="1205" t="s">
        <v>1008</v>
      </c>
      <c r="T11" s="1205"/>
      <c r="U11" s="1205"/>
      <c r="V11" s="1205"/>
      <c r="W11" s="1205"/>
      <c r="X11" s="1205"/>
      <c r="Y11" s="1205"/>
      <c r="Z11" s="1210"/>
      <c r="AA11" s="1211"/>
      <c r="AB11" s="1148" t="s">
        <v>1009</v>
      </c>
      <c r="AC11" s="1148"/>
      <c r="AD11" s="1129" t="s">
        <v>1010</v>
      </c>
      <c r="AE11" s="1128"/>
      <c r="AF11" s="1212"/>
      <c r="AG11" s="1148"/>
      <c r="AH11" s="1148"/>
      <c r="AI11" s="1212"/>
      <c r="AJ11" s="1148"/>
      <c r="AK11" s="1148"/>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6"/>
      <c r="B12" s="526"/>
      <c r="C12" s="526"/>
      <c r="E12" s="10"/>
      <c r="F12" s="1237"/>
      <c r="G12" s="1339"/>
      <c r="H12" s="1395"/>
      <c r="I12" s="41" t="s">
        <v>89</v>
      </c>
      <c r="J12" s="41" t="s">
        <v>1011</v>
      </c>
      <c r="K12" s="1148"/>
      <c r="L12" s="1261"/>
      <c r="M12" s="1261"/>
      <c r="N12" s="1148"/>
      <c r="O12" s="1148"/>
      <c r="P12" s="1205"/>
      <c r="Q12" s="1205"/>
      <c r="R12" s="1205"/>
      <c r="S12" s="39" t="s">
        <v>86</v>
      </c>
      <c r="T12" s="39" t="s">
        <v>87</v>
      </c>
      <c r="U12" s="39" t="s">
        <v>85</v>
      </c>
      <c r="V12" s="39" t="s">
        <v>1012</v>
      </c>
      <c r="W12" s="39" t="s">
        <v>85</v>
      </c>
      <c r="X12" s="39" t="s">
        <v>1013</v>
      </c>
      <c r="Y12" s="39" t="s">
        <v>1014</v>
      </c>
      <c r="Z12" s="1213"/>
      <c r="AA12" s="1214"/>
      <c r="AB12" s="41" t="s">
        <v>1015</v>
      </c>
      <c r="AC12" s="41" t="s">
        <v>1016</v>
      </c>
      <c r="AD12" s="41" t="s">
        <v>1015</v>
      </c>
      <c r="AE12" s="41" t="s">
        <v>1016</v>
      </c>
      <c r="AF12" s="1261"/>
      <c r="AG12" s="41" t="s">
        <v>1017</v>
      </c>
      <c r="AH12" s="41" t="s">
        <v>1018</v>
      </c>
      <c r="AI12" s="1261"/>
      <c r="AJ12" s="41" t="s">
        <v>1017</v>
      </c>
      <c r="AK12" s="41" t="s">
        <v>1018</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1019</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394"/>
      <c r="G17" s="1394"/>
      <c r="H17" s="1394"/>
      <c r="I17" s="1394"/>
      <c r="J17" s="139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394"/>
      <c r="G18" s="1394"/>
      <c r="H18" s="1394"/>
      <c r="I18" s="1394"/>
      <c r="J18" s="139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394"/>
      <c r="G19" s="1394"/>
      <c r="H19" s="1394"/>
      <c r="I19" s="1394"/>
      <c r="J19" s="139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3" t="s">
        <v>82</v>
      </c>
      <c r="B20" s="303">
        <v>0</v>
      </c>
      <c r="C20" s="303">
        <v>0</v>
      </c>
      <c r="D20" s="63">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08B95-41B4-3FF9-0D3C-A623117CC205}">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303" hidden="1" customWidth="1"/>
    <col min="4" max="4" width="4.140625" style="63" hidden="1" customWidth="1"/>
    <col min="5" max="5" width="3" style="11" customWidth="1"/>
    <col min="6" max="6" width="6" style="11" customWidth="1"/>
    <col min="7" max="7" width="60" style="11" customWidth="1"/>
    <col min="8" max="9" width="21.7109375" style="11" hidden="1" customWidth="1"/>
    <col min="10" max="10" width="0.140625" style="11" customWidth="1"/>
    <col min="11" max="11" width="1" style="11" customWidth="1"/>
    <col min="12" max="22" width="8" style="11" customWidth="1"/>
    <col min="23" max="23" width="9.140625" style="11" hidden="1"/>
  </cols>
  <sheetData>
    <row r="1" spans="1:23" s="63" customFormat="1" ht="10.5" hidden="1" customHeight="1">
      <c r="A1" s="303"/>
      <c r="B1" s="303"/>
      <c r="C1" s="303"/>
      <c r="W1" s="63" t="s">
        <v>14</v>
      </c>
    </row>
    <row r="2" spans="1:23" ht="10.5" hidden="1" customHeight="1">
      <c r="W2" s="11">
        <v>0</v>
      </c>
    </row>
    <row r="3" spans="1:23" s="8" customFormat="1" ht="10.5" hidden="1" customHeight="1">
      <c r="A3" s="303"/>
      <c r="B3" s="303"/>
      <c r="C3" s="303"/>
      <c r="D3" s="63"/>
      <c r="W3" s="8">
        <v>0</v>
      </c>
    </row>
    <row r="4" spans="1:23" ht="3" customHeight="1">
      <c r="W4" s="11">
        <v>3</v>
      </c>
    </row>
    <row r="5" spans="1:23" ht="27.4" customHeight="1">
      <c r="F5" s="125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1256"/>
      <c r="H5" s="1256"/>
      <c r="I5" s="1256"/>
      <c r="J5" s="1256"/>
      <c r="W5" s="11">
        <v>26</v>
      </c>
    </row>
    <row r="6" spans="1:23" ht="10.5" customHeight="1">
      <c r="F6" s="1229" t="str">
        <f>IF(org=0,"Не определено",org)</f>
        <v>ООО "Инженерные сети"</v>
      </c>
      <c r="G6" s="1229"/>
      <c r="H6" s="1229"/>
      <c r="I6" s="1229"/>
      <c r="J6" s="1229"/>
      <c r="W6" s="11">
        <v>10</v>
      </c>
    </row>
    <row r="7" spans="1:23" ht="11.45" customHeight="1">
      <c r="E7" s="10"/>
      <c r="F7" s="710"/>
      <c r="G7" s="710"/>
      <c r="H7" s="710"/>
      <c r="I7" s="710"/>
      <c r="J7" s="710"/>
      <c r="K7" s="34"/>
      <c r="L7" s="34"/>
      <c r="M7" s="34"/>
      <c r="N7" s="34"/>
      <c r="O7" s="34"/>
      <c r="P7" s="34"/>
      <c r="Q7" s="34"/>
      <c r="R7" s="34"/>
      <c r="S7" s="34"/>
      <c r="T7" s="34"/>
      <c r="U7" s="34"/>
      <c r="V7" s="34"/>
      <c r="W7" s="11">
        <v>11</v>
      </c>
    </row>
    <row r="8" spans="1:23" s="68" customFormat="1" ht="4.1500000000000004" customHeight="1">
      <c r="A8" s="313"/>
      <c r="B8" s="313"/>
      <c r="C8" s="313"/>
      <c r="E8" s="104"/>
      <c r="F8" s="711"/>
      <c r="G8" s="711"/>
      <c r="H8" s="711"/>
      <c r="I8" s="711"/>
      <c r="J8" s="711"/>
      <c r="K8" s="104"/>
      <c r="L8" s="104"/>
      <c r="M8" s="104"/>
      <c r="N8" s="104"/>
      <c r="O8" s="104"/>
      <c r="P8" s="104"/>
      <c r="Q8" s="104"/>
      <c r="R8" s="104"/>
      <c r="S8" s="104"/>
      <c r="T8" s="104"/>
      <c r="U8" s="104"/>
      <c r="V8" s="104"/>
      <c r="W8" s="68">
        <v>4</v>
      </c>
    </row>
    <row r="9" spans="1:23" ht="10.5" customHeight="1">
      <c r="E9" s="10"/>
      <c r="F9" s="1399" t="s">
        <v>304</v>
      </c>
      <c r="G9" s="1400"/>
      <c r="H9" s="1400"/>
      <c r="I9" s="1400"/>
      <c r="J9" s="1400"/>
      <c r="K9" s="718"/>
      <c r="L9" s="34"/>
      <c r="M9" s="34"/>
      <c r="N9" s="34"/>
      <c r="O9" s="34"/>
      <c r="P9" s="34"/>
      <c r="Q9" s="34"/>
      <c r="R9" s="34"/>
      <c r="S9" s="34"/>
      <c r="T9" s="34"/>
      <c r="U9" s="34"/>
      <c r="V9" s="34"/>
      <c r="W9" s="11">
        <v>10</v>
      </c>
    </row>
    <row r="10" spans="1:23" ht="25.15" customHeight="1">
      <c r="E10" s="34"/>
      <c r="F10" s="1403" t="s">
        <v>88</v>
      </c>
      <c r="G10" s="1407" t="s">
        <v>1020</v>
      </c>
      <c r="H10" s="1389" t="s">
        <v>1021</v>
      </c>
      <c r="I10" s="1389"/>
      <c r="J10" s="1389"/>
      <c r="K10" s="713"/>
      <c r="L10" s="34"/>
      <c r="M10" s="34"/>
      <c r="N10" s="34"/>
      <c r="O10" s="34"/>
      <c r="P10" s="34"/>
      <c r="Q10" s="34"/>
      <c r="R10" s="34"/>
      <c r="S10" s="34"/>
      <c r="T10" s="34"/>
      <c r="U10" s="34"/>
      <c r="V10" s="34"/>
      <c r="W10" s="11">
        <v>24</v>
      </c>
    </row>
    <row r="11" spans="1:23" ht="25.5" customHeight="1">
      <c r="E11" s="34"/>
      <c r="F11" s="1404"/>
      <c r="G11" s="1407"/>
      <c r="H11" s="1406" t="e">
        <f>INDEX(IP_MAIN_LIST_NAME_IP,MATCH(H8,IP_MAIN_LIST_IP_ID,0))&amp;" ("&amp;INDEX(IP_MAIN_START_DATE,MATCH(H8,IP_MAIN_LIST_IP_ID,0))&amp;"-"&amp;INDEX(IP_MAIN_END_DATE,MATCH(H8,IP_MAIN_LIST_IP_ID,0))&amp;")"</f>
        <v>#N/A</v>
      </c>
      <c r="I11" s="1406"/>
      <c r="J11" s="1406"/>
      <c r="K11" s="713"/>
      <c r="L11" s="34"/>
      <c r="M11" s="34"/>
      <c r="N11" s="34"/>
      <c r="O11" s="34"/>
      <c r="P11" s="34"/>
      <c r="Q11" s="34"/>
      <c r="R11" s="34"/>
      <c r="S11" s="34"/>
      <c r="T11" s="34"/>
      <c r="U11" s="34"/>
      <c r="V11" s="34"/>
      <c r="W11" s="11">
        <v>24</v>
      </c>
    </row>
    <row r="12" spans="1:23" ht="10.5" customHeight="1">
      <c r="F12" s="1405"/>
      <c r="G12" s="1407"/>
      <c r="H12" s="148" t="s">
        <v>1022</v>
      </c>
      <c r="I12" s="712"/>
      <c r="J12" s="148"/>
      <c r="K12" s="714"/>
      <c r="W12" s="11">
        <v>10</v>
      </c>
    </row>
    <row r="13" spans="1:23" ht="10.5" hidden="1" customHeight="1">
      <c r="F13" s="148">
        <v>1</v>
      </c>
      <c r="G13" s="148">
        <v>2</v>
      </c>
      <c r="H13" s="148">
        <v>3</v>
      </c>
      <c r="I13" s="148">
        <v>4</v>
      </c>
      <c r="J13" s="148">
        <v>5</v>
      </c>
      <c r="K13" s="714"/>
      <c r="W13" s="11">
        <v>0</v>
      </c>
    </row>
    <row r="14" spans="1:23" ht="11.45" customHeight="1">
      <c r="F14" s="242" t="s">
        <v>1023</v>
      </c>
      <c r="G14" s="1401" t="s">
        <v>1024</v>
      </c>
      <c r="H14" s="1401"/>
      <c r="I14" s="1401"/>
      <c r="J14" s="1401"/>
      <c r="K14" s="714"/>
      <c r="W14" s="11">
        <v>11</v>
      </c>
    </row>
    <row r="15" spans="1:23" ht="11.45" customHeight="1">
      <c r="F15" s="148">
        <v>1</v>
      </c>
      <c r="G15" s="394" t="s">
        <v>1025</v>
      </c>
      <c r="H15" s="364">
        <f t="shared" ref="H15:H36" si="0">SUM(I15:J15)</f>
        <v>0</v>
      </c>
      <c r="I15" s="364">
        <f>SUM(I16:I27)</f>
        <v>0</v>
      </c>
      <c r="J15" s="242"/>
      <c r="K15" s="714"/>
      <c r="W15" s="11">
        <v>11</v>
      </c>
    </row>
    <row r="16" spans="1:23" ht="24" customHeight="1">
      <c r="F16" s="148" t="s">
        <v>1026</v>
      </c>
      <c r="G16" s="716" t="s">
        <v>1027</v>
      </c>
      <c r="H16" s="364">
        <f t="shared" si="0"/>
        <v>0</v>
      </c>
      <c r="I16" s="715"/>
      <c r="J16" s="242"/>
      <c r="K16" s="714"/>
      <c r="W16" s="11">
        <v>23</v>
      </c>
    </row>
    <row r="17" spans="6:23" ht="24" customHeight="1">
      <c r="F17" s="148" t="s">
        <v>1028</v>
      </c>
      <c r="G17" s="716" t="s">
        <v>1029</v>
      </c>
      <c r="H17" s="364">
        <f t="shared" si="0"/>
        <v>0</v>
      </c>
      <c r="I17" s="715"/>
      <c r="J17" s="242"/>
      <c r="K17" s="714"/>
      <c r="W17" s="11">
        <v>23</v>
      </c>
    </row>
    <row r="18" spans="6:23" ht="35.65" customHeight="1">
      <c r="F18" s="148" t="s">
        <v>1030</v>
      </c>
      <c r="G18" s="716" t="s">
        <v>1031</v>
      </c>
      <c r="H18" s="364">
        <f t="shared" si="0"/>
        <v>0</v>
      </c>
      <c r="I18" s="715"/>
      <c r="J18" s="242"/>
      <c r="K18" s="714"/>
      <c r="W18" s="11">
        <v>34</v>
      </c>
    </row>
    <row r="19" spans="6:23" ht="35.65" customHeight="1">
      <c r="F19" s="148" t="s">
        <v>1032</v>
      </c>
      <c r="G19" s="716" t="s">
        <v>1033</v>
      </c>
      <c r="H19" s="364">
        <f t="shared" si="0"/>
        <v>0</v>
      </c>
      <c r="I19" s="715"/>
      <c r="J19" s="242"/>
      <c r="K19" s="714"/>
      <c r="W19" s="11">
        <v>34</v>
      </c>
    </row>
    <row r="20" spans="6:23" ht="48.2" customHeight="1">
      <c r="F20" s="148" t="s">
        <v>1034</v>
      </c>
      <c r="G20" s="716" t="s">
        <v>1035</v>
      </c>
      <c r="H20" s="364">
        <f t="shared" si="0"/>
        <v>0</v>
      </c>
      <c r="I20" s="715"/>
      <c r="J20" s="242"/>
      <c r="K20" s="714"/>
      <c r="W20" s="11">
        <v>46</v>
      </c>
    </row>
    <row r="21" spans="6:23" ht="35.65" customHeight="1">
      <c r="F21" s="148" t="s">
        <v>1036</v>
      </c>
      <c r="G21" s="716" t="s">
        <v>1037</v>
      </c>
      <c r="H21" s="364">
        <f t="shared" si="0"/>
        <v>0</v>
      </c>
      <c r="I21" s="715"/>
      <c r="J21" s="242"/>
      <c r="K21" s="714"/>
      <c r="W21" s="11">
        <v>34</v>
      </c>
    </row>
    <row r="22" spans="6:23" ht="35.65" customHeight="1">
      <c r="F22" s="148" t="s">
        <v>1038</v>
      </c>
      <c r="G22" s="716" t="s">
        <v>1039</v>
      </c>
      <c r="H22" s="364">
        <f t="shared" si="0"/>
        <v>0</v>
      </c>
      <c r="I22" s="715"/>
      <c r="J22" s="242"/>
      <c r="K22" s="714"/>
      <c r="W22" s="11">
        <v>34</v>
      </c>
    </row>
    <row r="23" spans="6:23" ht="24" customHeight="1">
      <c r="F23" s="148" t="s">
        <v>1040</v>
      </c>
      <c r="G23" s="716" t="s">
        <v>1041</v>
      </c>
      <c r="H23" s="364">
        <f t="shared" si="0"/>
        <v>0</v>
      </c>
      <c r="I23" s="715"/>
      <c r="J23" s="242"/>
      <c r="K23" s="714"/>
      <c r="W23" s="11">
        <v>23</v>
      </c>
    </row>
    <row r="24" spans="6:23" ht="24" customHeight="1">
      <c r="F24" s="148" t="s">
        <v>1042</v>
      </c>
      <c r="G24" s="716" t="s">
        <v>1043</v>
      </c>
      <c r="H24" s="364">
        <f t="shared" si="0"/>
        <v>0</v>
      </c>
      <c r="I24" s="715"/>
      <c r="J24" s="242"/>
      <c r="K24" s="714"/>
      <c r="W24" s="11">
        <v>23</v>
      </c>
    </row>
    <row r="25" spans="6:23" ht="35.65" customHeight="1">
      <c r="F25" s="148" t="s">
        <v>1044</v>
      </c>
      <c r="G25" s="716" t="s">
        <v>1045</v>
      </c>
      <c r="H25" s="364">
        <f t="shared" si="0"/>
        <v>0</v>
      </c>
      <c r="I25" s="715"/>
      <c r="J25" s="242"/>
      <c r="K25" s="714"/>
      <c r="W25" s="11">
        <v>34</v>
      </c>
    </row>
    <row r="26" spans="6:23" ht="35.65" customHeight="1">
      <c r="F26" s="148" t="s">
        <v>1046</v>
      </c>
      <c r="G26" s="716" t="s">
        <v>1047</v>
      </c>
      <c r="H26" s="364">
        <f t="shared" si="0"/>
        <v>0</v>
      </c>
      <c r="I26" s="715"/>
      <c r="J26" s="242"/>
      <c r="K26" s="714"/>
      <c r="W26" s="11">
        <v>34</v>
      </c>
    </row>
    <row r="27" spans="6:23" ht="11.45" customHeight="1">
      <c r="F27" s="148" t="s">
        <v>1048</v>
      </c>
      <c r="G27" s="716" t="s">
        <v>1049</v>
      </c>
      <c r="H27" s="364">
        <f t="shared" si="0"/>
        <v>0</v>
      </c>
      <c r="I27" s="715"/>
      <c r="J27" s="242"/>
      <c r="K27" s="714"/>
      <c r="W27" s="11">
        <v>11</v>
      </c>
    </row>
    <row r="28" spans="6:23" ht="11.45" customHeight="1">
      <c r="F28" s="148">
        <v>2</v>
      </c>
      <c r="G28" s="394" t="s">
        <v>1050</v>
      </c>
      <c r="H28" s="364">
        <f t="shared" si="0"/>
        <v>0</v>
      </c>
      <c r="I28" s="364">
        <f>SUM(I29:I31)</f>
        <v>0</v>
      </c>
      <c r="J28" s="242"/>
      <c r="K28" s="714"/>
      <c r="W28" s="11">
        <v>11</v>
      </c>
    </row>
    <row r="29" spans="6:23" ht="11.45" customHeight="1">
      <c r="F29" s="148" t="s">
        <v>712</v>
      </c>
      <c r="G29" s="716" t="s">
        <v>1051</v>
      </c>
      <c r="H29" s="364">
        <f t="shared" si="0"/>
        <v>0</v>
      </c>
      <c r="I29" s="715"/>
      <c r="J29" s="242"/>
      <c r="K29" s="714"/>
      <c r="W29" s="11">
        <v>11</v>
      </c>
    </row>
    <row r="30" spans="6:23" ht="11.45" customHeight="1">
      <c r="F30" s="148" t="s">
        <v>311</v>
      </c>
      <c r="G30" s="716" t="s">
        <v>1052</v>
      </c>
      <c r="H30" s="364">
        <f t="shared" si="0"/>
        <v>0</v>
      </c>
      <c r="I30" s="715"/>
      <c r="J30" s="242"/>
      <c r="K30" s="714"/>
      <c r="W30" s="11">
        <v>11</v>
      </c>
    </row>
    <row r="31" spans="6:23" ht="11.45" customHeight="1">
      <c r="F31" s="148" t="s">
        <v>314</v>
      </c>
      <c r="G31" s="716" t="s">
        <v>1053</v>
      </c>
      <c r="H31" s="364">
        <f t="shared" si="0"/>
        <v>0</v>
      </c>
      <c r="I31" s="715"/>
      <c r="J31" s="242"/>
      <c r="K31" s="714"/>
      <c r="W31" s="11">
        <v>11</v>
      </c>
    </row>
    <row r="32" spans="6:23" ht="11.45" customHeight="1">
      <c r="F32" s="148">
        <v>3</v>
      </c>
      <c r="G32" s="394" t="s">
        <v>1054</v>
      </c>
      <c r="H32" s="364">
        <f t="shared" si="0"/>
        <v>0</v>
      </c>
      <c r="I32" s="364">
        <f>SUM(I33:I34)</f>
        <v>0</v>
      </c>
      <c r="J32" s="242"/>
      <c r="K32" s="714"/>
      <c r="W32" s="11">
        <v>11</v>
      </c>
    </row>
    <row r="33" spans="6:23" ht="48.2" customHeight="1">
      <c r="F33" s="148" t="s">
        <v>328</v>
      </c>
      <c r="G33" s="716" t="s">
        <v>1055</v>
      </c>
      <c r="H33" s="364">
        <f t="shared" si="0"/>
        <v>0</v>
      </c>
      <c r="I33" s="715"/>
      <c r="J33" s="242"/>
      <c r="K33" s="714"/>
      <c r="W33" s="11">
        <v>46</v>
      </c>
    </row>
    <row r="34" spans="6:23" ht="11.45" customHeight="1">
      <c r="F34" s="148" t="s">
        <v>336</v>
      </c>
      <c r="G34" s="716" t="s">
        <v>1056</v>
      </c>
      <c r="H34" s="364">
        <f t="shared" si="0"/>
        <v>0</v>
      </c>
      <c r="I34" s="715"/>
      <c r="J34" s="242"/>
      <c r="K34" s="714"/>
      <c r="W34" s="11">
        <v>11</v>
      </c>
    </row>
    <row r="35" spans="6:23" ht="11.45" customHeight="1">
      <c r="F35" s="148">
        <v>4</v>
      </c>
      <c r="G35" s="394" t="s">
        <v>1057</v>
      </c>
      <c r="H35" s="364">
        <f t="shared" si="0"/>
        <v>0</v>
      </c>
      <c r="I35" s="715"/>
      <c r="J35" s="242"/>
      <c r="K35" s="714"/>
      <c r="W35" s="11">
        <v>11</v>
      </c>
    </row>
    <row r="36" spans="6:23" ht="11.45" customHeight="1">
      <c r="F36" s="148"/>
      <c r="G36" s="397" t="s">
        <v>1058</v>
      </c>
      <c r="H36" s="364">
        <f t="shared" si="0"/>
        <v>0</v>
      </c>
      <c r="I36" s="364">
        <f>SUM(I15,I28,I32,I35)</f>
        <v>0</v>
      </c>
      <c r="J36" s="242"/>
      <c r="K36" s="714"/>
      <c r="W36" s="11">
        <v>11</v>
      </c>
    </row>
    <row r="37" spans="6:23" ht="29.25" customHeight="1">
      <c r="F37" s="242" t="s">
        <v>1059</v>
      </c>
      <c r="G37" s="1402" t="s">
        <v>1060</v>
      </c>
      <c r="H37" s="1402"/>
      <c r="I37" s="1402"/>
      <c r="J37" s="1402"/>
      <c r="K37" s="714"/>
      <c r="W37" s="11">
        <v>28</v>
      </c>
    </row>
    <row r="38" spans="6:23" ht="24" customHeight="1">
      <c r="F38" s="148" t="s">
        <v>115</v>
      </c>
      <c r="G38" s="394" t="s">
        <v>1061</v>
      </c>
      <c r="H38" s="364">
        <f t="shared" ref="H38:H58" si="1">SUM(I38:J38)</f>
        <v>0</v>
      </c>
      <c r="I38" s="364">
        <f>SUM(I39,I44,I47)</f>
        <v>0</v>
      </c>
      <c r="J38" s="242"/>
      <c r="K38" s="714"/>
      <c r="W38" s="11">
        <v>23</v>
      </c>
    </row>
    <row r="39" spans="6:23" ht="11.45" customHeight="1">
      <c r="F39" s="148" t="s">
        <v>1026</v>
      </c>
      <c r="G39" s="716" t="s">
        <v>1025</v>
      </c>
      <c r="H39" s="364">
        <f t="shared" si="1"/>
        <v>0</v>
      </c>
      <c r="I39" s="364">
        <f>SUM(I40:I43)</f>
        <v>0</v>
      </c>
      <c r="J39" s="242"/>
      <c r="K39" s="714"/>
      <c r="W39" s="11">
        <v>11</v>
      </c>
    </row>
    <row r="40" spans="6:23" ht="24" customHeight="1">
      <c r="F40" s="148" t="s">
        <v>1062</v>
      </c>
      <c r="G40" s="717" t="s">
        <v>1063</v>
      </c>
      <c r="H40" s="364">
        <f t="shared" si="1"/>
        <v>0</v>
      </c>
      <c r="I40" s="715"/>
      <c r="J40" s="242"/>
      <c r="K40" s="714"/>
      <c r="W40" s="11">
        <v>23</v>
      </c>
    </row>
    <row r="41" spans="6:23" ht="11.45" customHeight="1">
      <c r="F41" s="148" t="s">
        <v>1064</v>
      </c>
      <c r="G41" s="717" t="s">
        <v>1065</v>
      </c>
      <c r="H41" s="364">
        <f t="shared" si="1"/>
        <v>0</v>
      </c>
      <c r="I41" s="715"/>
      <c r="J41" s="242"/>
      <c r="K41" s="714"/>
      <c r="W41" s="11">
        <v>11</v>
      </c>
    </row>
    <row r="42" spans="6:23" ht="11.45" customHeight="1">
      <c r="F42" s="148" t="s">
        <v>1066</v>
      </c>
      <c r="G42" s="717" t="s">
        <v>1067</v>
      </c>
      <c r="H42" s="364">
        <f t="shared" si="1"/>
        <v>0</v>
      </c>
      <c r="I42" s="715"/>
      <c r="J42" s="242"/>
      <c r="K42" s="714"/>
      <c r="W42" s="11">
        <v>11</v>
      </c>
    </row>
    <row r="43" spans="6:23" ht="35.65" customHeight="1">
      <c r="F43" s="148" t="s">
        <v>1068</v>
      </c>
      <c r="G43" s="717" t="s">
        <v>1069</v>
      </c>
      <c r="H43" s="364">
        <f t="shared" si="1"/>
        <v>0</v>
      </c>
      <c r="I43" s="715"/>
      <c r="J43" s="242"/>
      <c r="K43" s="714"/>
      <c r="W43" s="11">
        <v>34</v>
      </c>
    </row>
    <row r="44" spans="6:23" ht="11.45" customHeight="1">
      <c r="F44" s="148" t="s">
        <v>1028</v>
      </c>
      <c r="G44" s="716" t="s">
        <v>1054</v>
      </c>
      <c r="H44" s="364">
        <f t="shared" si="1"/>
        <v>0</v>
      </c>
      <c r="I44" s="364">
        <f>SUM(I45:I46)</f>
        <v>0</v>
      </c>
      <c r="J44" s="242"/>
      <c r="K44" s="714"/>
      <c r="W44" s="11">
        <v>11</v>
      </c>
    </row>
    <row r="45" spans="6:23" ht="48.2" customHeight="1">
      <c r="F45" s="148" t="s">
        <v>1070</v>
      </c>
      <c r="G45" s="717" t="s">
        <v>1055</v>
      </c>
      <c r="H45" s="364">
        <f t="shared" si="1"/>
        <v>0</v>
      </c>
      <c r="I45" s="715"/>
      <c r="J45" s="242"/>
      <c r="K45" s="714"/>
      <c r="W45" s="11">
        <v>46</v>
      </c>
    </row>
    <row r="46" spans="6:23" ht="11.45" customHeight="1">
      <c r="F46" s="148" t="s">
        <v>1071</v>
      </c>
      <c r="G46" s="717" t="s">
        <v>1056</v>
      </c>
      <c r="H46" s="364">
        <f t="shared" si="1"/>
        <v>0</v>
      </c>
      <c r="I46" s="715"/>
      <c r="J46" s="242"/>
      <c r="K46" s="714"/>
      <c r="W46" s="11">
        <v>11</v>
      </c>
    </row>
    <row r="47" spans="6:23" ht="11.45" customHeight="1">
      <c r="F47" s="148" t="s">
        <v>1030</v>
      </c>
      <c r="G47" s="716" t="s">
        <v>1072</v>
      </c>
      <c r="H47" s="364">
        <f t="shared" si="1"/>
        <v>0</v>
      </c>
      <c r="I47" s="715"/>
      <c r="J47" s="242"/>
      <c r="K47" s="714"/>
      <c r="W47" s="11">
        <v>11</v>
      </c>
    </row>
    <row r="48" spans="6:23" ht="24" customHeight="1">
      <c r="F48" s="148" t="s">
        <v>103</v>
      </c>
      <c r="G48" s="394" t="s">
        <v>1073</v>
      </c>
      <c r="H48" s="364">
        <f t="shared" si="1"/>
        <v>0</v>
      </c>
      <c r="I48" s="364">
        <f>SUM(I49,I54,I57)</f>
        <v>0</v>
      </c>
      <c r="J48" s="242"/>
      <c r="K48" s="714"/>
      <c r="W48" s="11">
        <v>23</v>
      </c>
    </row>
    <row r="49" spans="1:23" ht="11.45" customHeight="1">
      <c r="F49" s="148" t="s">
        <v>712</v>
      </c>
      <c r="G49" s="716" t="s">
        <v>1025</v>
      </c>
      <c r="H49" s="364">
        <f t="shared" si="1"/>
        <v>0</v>
      </c>
      <c r="I49" s="364">
        <f>SUM(I50:I53)</f>
        <v>0</v>
      </c>
      <c r="J49" s="242"/>
      <c r="K49" s="714"/>
      <c r="W49" s="11">
        <v>11</v>
      </c>
    </row>
    <row r="50" spans="1:23" ht="24" customHeight="1">
      <c r="F50" s="148" t="s">
        <v>715</v>
      </c>
      <c r="G50" s="717" t="s">
        <v>1063</v>
      </c>
      <c r="H50" s="364">
        <f t="shared" si="1"/>
        <v>0</v>
      </c>
      <c r="I50" s="715"/>
      <c r="J50" s="242"/>
      <c r="K50" s="714"/>
      <c r="W50" s="11">
        <v>23</v>
      </c>
    </row>
    <row r="51" spans="1:23" ht="11.45" customHeight="1">
      <c r="F51" s="148" t="s">
        <v>718</v>
      </c>
      <c r="G51" s="717" t="s">
        <v>1065</v>
      </c>
      <c r="H51" s="364">
        <f t="shared" si="1"/>
        <v>0</v>
      </c>
      <c r="I51" s="715"/>
      <c r="J51" s="242"/>
      <c r="K51" s="714"/>
      <c r="W51" s="11">
        <v>11</v>
      </c>
    </row>
    <row r="52" spans="1:23" ht="11.45" customHeight="1">
      <c r="F52" s="148" t="s">
        <v>1074</v>
      </c>
      <c r="G52" s="717" t="s">
        <v>1067</v>
      </c>
      <c r="H52" s="364">
        <f t="shared" si="1"/>
        <v>0</v>
      </c>
      <c r="I52" s="715"/>
      <c r="J52" s="242"/>
      <c r="K52" s="714"/>
      <c r="W52" s="11">
        <v>11</v>
      </c>
    </row>
    <row r="53" spans="1:23" ht="35.65" customHeight="1">
      <c r="F53" s="148" t="s">
        <v>1075</v>
      </c>
      <c r="G53" s="717" t="s">
        <v>1069</v>
      </c>
      <c r="H53" s="364">
        <f t="shared" si="1"/>
        <v>0</v>
      </c>
      <c r="I53" s="715"/>
      <c r="J53" s="242"/>
      <c r="K53" s="714"/>
      <c r="W53" s="11">
        <v>34</v>
      </c>
    </row>
    <row r="54" spans="1:23" ht="11.45" customHeight="1">
      <c r="F54" s="148" t="s">
        <v>311</v>
      </c>
      <c r="G54" s="716" t="s">
        <v>1054</v>
      </c>
      <c r="H54" s="364">
        <f t="shared" si="1"/>
        <v>0</v>
      </c>
      <c r="I54" s="364">
        <f>SUM(I55:I56)</f>
        <v>0</v>
      </c>
      <c r="J54" s="242"/>
      <c r="K54" s="714"/>
      <c r="W54" s="11">
        <v>11</v>
      </c>
    </row>
    <row r="55" spans="1:23" ht="48.2" customHeight="1">
      <c r="F55" s="148" t="s">
        <v>722</v>
      </c>
      <c r="G55" s="717" t="s">
        <v>1055</v>
      </c>
      <c r="H55" s="364">
        <f t="shared" si="1"/>
        <v>0</v>
      </c>
      <c r="I55" s="715"/>
      <c r="J55" s="242"/>
      <c r="K55" s="714"/>
      <c r="W55" s="11">
        <v>46</v>
      </c>
    </row>
    <row r="56" spans="1:23" ht="11.45" customHeight="1">
      <c r="F56" s="148" t="s">
        <v>724</v>
      </c>
      <c r="G56" s="717" t="s">
        <v>1056</v>
      </c>
      <c r="H56" s="364">
        <f t="shared" si="1"/>
        <v>0</v>
      </c>
      <c r="I56" s="715"/>
      <c r="J56" s="242"/>
      <c r="K56" s="714"/>
      <c r="W56" s="11">
        <v>11</v>
      </c>
    </row>
    <row r="57" spans="1:23" ht="11.45" customHeight="1">
      <c r="F57" s="148" t="s">
        <v>314</v>
      </c>
      <c r="G57" s="716" t="s">
        <v>1072</v>
      </c>
      <c r="H57" s="364">
        <f t="shared" si="1"/>
        <v>0</v>
      </c>
      <c r="I57" s="715"/>
      <c r="J57" s="242"/>
      <c r="K57" s="714"/>
      <c r="W57" s="11">
        <v>11</v>
      </c>
    </row>
    <row r="58" spans="1:23" ht="11.45" customHeight="1">
      <c r="F58" s="148"/>
      <c r="G58" s="510" t="s">
        <v>1058</v>
      </c>
      <c r="H58" s="364">
        <f t="shared" si="1"/>
        <v>0</v>
      </c>
      <c r="I58" s="364">
        <f>SUM(I38,I48)</f>
        <v>0</v>
      </c>
      <c r="J58" s="242"/>
      <c r="K58" s="714"/>
      <c r="W58" s="11">
        <v>11</v>
      </c>
    </row>
    <row r="59" spans="1:23" ht="10.5" hidden="1" customHeight="1">
      <c r="A59" s="303" t="s">
        <v>82</v>
      </c>
      <c r="B59" s="303">
        <v>0</v>
      </c>
      <c r="C59" s="303">
        <v>0</v>
      </c>
      <c r="D59" s="63">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73A9E-8658-B027-2A21-89330CCBBD33}">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535" hidden="1" customWidth="1"/>
    <col min="2" max="2" width="4.7109375" style="536" hidden="1" customWidth="1"/>
    <col min="3" max="4" width="4.7109375" style="535" hidden="1" customWidth="1"/>
    <col min="5" max="5" width="3" style="535" customWidth="1"/>
    <col min="6" max="6" width="6" style="535" customWidth="1"/>
    <col min="7" max="7" width="18" style="535" customWidth="1"/>
    <col min="8" max="8" width="27" style="535" customWidth="1"/>
    <col min="9" max="9" width="18" style="535" customWidth="1"/>
    <col min="10" max="14" width="0.85546875" style="535" hidden="1" customWidth="1"/>
    <col min="15" max="28" width="21.7109375" style="535" customWidth="1"/>
    <col min="29" max="71" width="0.85546875" style="535" customWidth="1"/>
    <col min="72" max="79" width="21.7109375" style="535" hidden="1" customWidth="1"/>
    <col min="80" max="81" width="29.140625" style="535" hidden="1" customWidth="1"/>
    <col min="82" max="89" width="21.7109375" style="535" hidden="1" customWidth="1"/>
    <col min="90" max="102" width="0.7109375" style="535" hidden="1" customWidth="1"/>
    <col min="103" max="114" width="21.7109375" style="535" hidden="1" customWidth="1"/>
    <col min="115" max="178" width="0.7109375" style="535" hidden="1" customWidth="1"/>
    <col min="179" max="179" width="0.140625" style="535" customWidth="1"/>
    <col min="180" max="184" width="8" style="535" customWidth="1"/>
    <col min="185" max="185" width="9.1406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27.4" customHeight="1">
      <c r="B5" s="1012"/>
      <c r="E5" s="1013"/>
      <c r="F5" s="142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192"/>
      <c r="AG5" s="1192"/>
      <c r="AH5" s="1192"/>
      <c r="AI5" s="1192"/>
      <c r="AJ5" s="1192"/>
      <c r="AK5" s="1192"/>
      <c r="AL5" s="1192"/>
      <c r="AM5" s="1192"/>
      <c r="AN5" s="1192"/>
      <c r="AO5" s="1192"/>
      <c r="AP5" s="1192"/>
      <c r="AQ5" s="1192"/>
      <c r="AR5" s="1192"/>
      <c r="AS5" s="1192"/>
      <c r="AT5" s="1192"/>
      <c r="AU5" s="1192"/>
      <c r="AV5" s="1192"/>
      <c r="AW5" s="1192"/>
      <c r="AX5" s="1192"/>
      <c r="AY5" s="1192"/>
      <c r="AZ5" s="1192"/>
      <c r="BA5" s="1192"/>
      <c r="BB5" s="1192"/>
      <c r="BC5" s="1192"/>
      <c r="BD5" s="1192"/>
      <c r="BE5" s="1192"/>
      <c r="BF5" s="1192"/>
      <c r="BG5" s="1192"/>
      <c r="BH5" s="1192"/>
      <c r="BI5" s="1192"/>
      <c r="BJ5" s="1192"/>
      <c r="BK5" s="1192"/>
      <c r="BL5" s="1192"/>
      <c r="BM5" s="1192"/>
      <c r="BN5" s="1192"/>
      <c r="BO5" s="1192"/>
      <c r="BP5" s="1192"/>
      <c r="BQ5" s="1192"/>
      <c r="BR5" s="1192"/>
      <c r="BS5" s="1192"/>
      <c r="GC5" s="304">
        <v>26</v>
      </c>
    </row>
    <row r="6" spans="2:185" s="55" customFormat="1" ht="18.75" customHeight="1">
      <c r="B6" s="355"/>
      <c r="E6" s="495"/>
      <c r="F6" s="1251" t="str">
        <f>IF(org=0,"Не определено",org)</f>
        <v>ООО "Инженерные сети"</v>
      </c>
      <c r="G6" s="1252"/>
      <c r="H6" s="1252"/>
      <c r="I6" s="1252"/>
      <c r="J6" s="1252"/>
      <c r="K6" s="1252"/>
      <c r="L6" s="1252"/>
      <c r="M6" s="1252"/>
      <c r="N6" s="1252"/>
      <c r="O6" s="1252"/>
      <c r="P6" s="1252"/>
      <c r="Q6" s="1252"/>
      <c r="R6" s="1252"/>
      <c r="S6" s="1252"/>
      <c r="T6" s="1252"/>
      <c r="U6" s="1252"/>
      <c r="V6" s="1252"/>
      <c r="W6" s="1252"/>
      <c r="X6" s="1252"/>
      <c r="Y6" s="1252"/>
      <c r="Z6" s="1252"/>
      <c r="AA6" s="1252"/>
      <c r="AB6" s="1252"/>
      <c r="AC6" s="1252"/>
      <c r="AD6" s="1252"/>
      <c r="AE6" s="1252"/>
      <c r="AF6" s="1252"/>
      <c r="AG6" s="1252"/>
      <c r="AH6" s="1252"/>
      <c r="AI6" s="1252"/>
      <c r="AJ6" s="1252"/>
      <c r="AK6" s="1252"/>
      <c r="AL6" s="1252"/>
      <c r="AM6" s="1252"/>
      <c r="AN6" s="1252"/>
      <c r="AO6" s="1252"/>
      <c r="AP6" s="1252"/>
      <c r="AQ6" s="1252"/>
      <c r="AR6" s="1252"/>
      <c r="AS6" s="1252"/>
      <c r="AT6" s="1252"/>
      <c r="AU6" s="1252"/>
      <c r="AV6" s="1252"/>
      <c r="AW6" s="1252"/>
      <c r="AX6" s="1252"/>
      <c r="AY6" s="1252"/>
      <c r="AZ6" s="1252"/>
      <c r="BA6" s="1252"/>
      <c r="BB6" s="1252"/>
      <c r="BC6" s="1252"/>
      <c r="BD6" s="1252"/>
      <c r="BE6" s="1252"/>
      <c r="BF6" s="1252"/>
      <c r="BG6" s="1252"/>
      <c r="BH6" s="1252"/>
      <c r="BI6" s="1252"/>
      <c r="BJ6" s="1252"/>
      <c r="BK6" s="1252"/>
      <c r="BL6" s="1252"/>
      <c r="BM6" s="1252"/>
      <c r="BN6" s="1252"/>
      <c r="BO6" s="1252"/>
      <c r="BP6" s="1252"/>
      <c r="BQ6" s="1252"/>
      <c r="BR6" s="1252"/>
      <c r="BS6" s="1252"/>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17" t="s">
        <v>1076</v>
      </c>
      <c r="P8" s="1418"/>
      <c r="Q8" s="1418"/>
      <c r="R8" s="1418"/>
      <c r="S8" s="1418"/>
      <c r="T8" s="1418"/>
      <c r="U8" s="1418"/>
      <c r="V8" s="1418"/>
      <c r="W8" s="1418"/>
      <c r="X8" s="1418"/>
      <c r="Y8" s="1418"/>
      <c r="Z8" s="1418"/>
      <c r="AA8" s="1418"/>
      <c r="AB8" s="1418"/>
      <c r="AC8" s="1418"/>
      <c r="AD8" s="1418"/>
      <c r="AE8" s="1418"/>
      <c r="AF8" s="1418"/>
      <c r="AG8" s="1418"/>
      <c r="AH8" s="1418"/>
      <c r="AI8" s="1418"/>
      <c r="AJ8" s="1418"/>
      <c r="AK8" s="1418"/>
      <c r="AL8" s="1418"/>
      <c r="AM8" s="1418"/>
      <c r="AN8" s="1418"/>
      <c r="AO8" s="1418"/>
      <c r="AP8" s="1418"/>
      <c r="AQ8" s="1418"/>
      <c r="AR8" s="1418"/>
      <c r="AS8" s="1418"/>
      <c r="AT8" s="1418"/>
      <c r="AU8" s="1418"/>
      <c r="AV8" s="1418"/>
      <c r="AW8" s="1418"/>
      <c r="AX8" s="1418"/>
      <c r="AY8" s="1418"/>
      <c r="AZ8" s="1418"/>
      <c r="BA8" s="1418"/>
      <c r="BB8" s="1418"/>
      <c r="BC8" s="1418"/>
      <c r="BD8" s="1418"/>
      <c r="BE8" s="1418"/>
      <c r="BF8" s="1418"/>
      <c r="BG8" s="1418"/>
      <c r="BH8" s="1418"/>
      <c r="BI8" s="1418"/>
      <c r="BJ8" s="1418"/>
      <c r="BK8" s="1418"/>
      <c r="BL8" s="1418"/>
      <c r="BM8" s="1418"/>
      <c r="BN8" s="1418"/>
      <c r="BO8" s="1418"/>
      <c r="BP8" s="1418"/>
      <c r="BQ8" s="1418"/>
      <c r="BR8" s="1418"/>
      <c r="BS8" s="1419"/>
      <c r="BT8" s="1420"/>
      <c r="BU8" s="1421"/>
      <c r="BV8" s="1421"/>
      <c r="BW8" s="1421"/>
      <c r="BX8" s="1421"/>
      <c r="BY8" s="1421"/>
      <c r="BZ8" s="1421"/>
      <c r="CA8" s="1421"/>
      <c r="CB8" s="1421"/>
      <c r="CC8" s="1421"/>
      <c r="CD8" s="1421"/>
      <c r="CE8" s="1421"/>
      <c r="CF8" s="1421"/>
      <c r="CG8" s="1421"/>
      <c r="CH8" s="1421"/>
      <c r="CI8" s="1421"/>
      <c r="CJ8" s="1421"/>
      <c r="CK8" s="1421"/>
      <c r="CL8" s="1421"/>
      <c r="CM8" s="1421"/>
      <c r="CN8" s="1421"/>
      <c r="CO8" s="1421"/>
      <c r="CP8" s="1421"/>
      <c r="CQ8" s="1421"/>
      <c r="CR8" s="1421"/>
      <c r="CS8" s="1421"/>
      <c r="CT8" s="1421"/>
      <c r="CU8" s="1421"/>
      <c r="CV8" s="1421"/>
      <c r="CW8" s="1421"/>
      <c r="CX8" s="1422"/>
      <c r="CY8" s="1423"/>
      <c r="CZ8" s="1424"/>
      <c r="DA8" s="1424"/>
      <c r="DB8" s="1424"/>
      <c r="DC8" s="1424"/>
      <c r="DD8" s="1424"/>
      <c r="DE8" s="1424"/>
      <c r="DF8" s="1424"/>
      <c r="DG8" s="1424"/>
      <c r="DH8" s="1424"/>
      <c r="DI8" s="1424"/>
      <c r="DJ8" s="1424"/>
      <c r="DK8" s="1424"/>
      <c r="DL8" s="1424"/>
      <c r="DM8" s="1424"/>
      <c r="DN8" s="1424"/>
      <c r="DO8" s="1424"/>
      <c r="DP8" s="1424"/>
      <c r="DQ8" s="1424"/>
      <c r="DR8" s="1424"/>
      <c r="DS8" s="1424"/>
      <c r="DT8" s="1424"/>
      <c r="DU8" s="1424"/>
      <c r="DV8" s="1424"/>
      <c r="DW8" s="1424"/>
      <c r="DX8" s="1425"/>
      <c r="DY8" s="1411" t="s">
        <v>1077</v>
      </c>
      <c r="DZ8" s="1412"/>
      <c r="EA8" s="1412"/>
      <c r="EB8" s="1412"/>
      <c r="EC8" s="1412"/>
      <c r="ED8" s="1412"/>
      <c r="EE8" s="1412"/>
      <c r="EF8" s="1412"/>
      <c r="EG8" s="1412"/>
      <c r="EH8" s="1412"/>
      <c r="EI8" s="1412"/>
      <c r="EJ8" s="1412"/>
      <c r="EK8" s="1412"/>
      <c r="EL8" s="1412"/>
      <c r="EM8" s="1412"/>
      <c r="EN8" s="1412"/>
      <c r="EO8" s="1412"/>
      <c r="EP8" s="1412"/>
      <c r="EQ8" s="1412"/>
      <c r="ER8" s="1412"/>
      <c r="ES8" s="1412"/>
      <c r="ET8" s="1412"/>
      <c r="EU8" s="1412"/>
      <c r="EV8" s="1412"/>
      <c r="EW8" s="1412"/>
      <c r="EX8" s="1412"/>
      <c r="EY8" s="1412"/>
      <c r="EZ8" s="1412"/>
      <c r="FA8" s="1412"/>
      <c r="FB8" s="1412"/>
      <c r="FC8" s="1412"/>
      <c r="FD8" s="1412"/>
      <c r="FE8" s="1412"/>
      <c r="FF8" s="1412"/>
      <c r="FG8" s="1412"/>
      <c r="FH8" s="1412"/>
      <c r="FI8" s="1412"/>
      <c r="FJ8" s="1412"/>
      <c r="FK8" s="1412"/>
      <c r="FL8" s="1412"/>
      <c r="FM8" s="1412"/>
      <c r="FN8" s="1412"/>
      <c r="FO8" s="1412"/>
      <c r="FP8" s="1412"/>
      <c r="FQ8" s="1412"/>
      <c r="FR8" s="1412"/>
      <c r="FS8" s="1412"/>
      <c r="FT8" s="1412"/>
      <c r="FU8" s="1412"/>
      <c r="FV8" s="1412"/>
      <c r="FW8" s="1413"/>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14"/>
      <c r="FX9" s="55"/>
      <c r="GC9" s="537">
        <v>0</v>
      </c>
    </row>
    <row r="10" spans="2:185" s="537" customFormat="1" ht="11.45" customHeight="1">
      <c r="B10" s="538"/>
      <c r="F10" s="1390" t="s">
        <v>304</v>
      </c>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7"/>
      <c r="AY10" s="1427"/>
      <c r="AZ10" s="1427"/>
      <c r="BA10" s="1427"/>
      <c r="BB10" s="1427"/>
      <c r="BC10" s="1427"/>
      <c r="BD10" s="1427"/>
      <c r="BE10" s="1427"/>
      <c r="BF10" s="1427"/>
      <c r="BG10" s="1427"/>
      <c r="BH10" s="1427"/>
      <c r="BI10" s="1427"/>
      <c r="BJ10" s="1427"/>
      <c r="BK10" s="1427"/>
      <c r="BL10" s="1427"/>
      <c r="BM10" s="1427"/>
      <c r="BN10" s="1427"/>
      <c r="BO10" s="1427"/>
      <c r="BP10" s="1427"/>
      <c r="BQ10" s="1427"/>
      <c r="BR10" s="1427"/>
      <c r="BS10" s="1427"/>
      <c r="BT10" s="1427"/>
      <c r="BU10" s="1427"/>
      <c r="BV10" s="1427"/>
      <c r="BW10" s="1427"/>
      <c r="BX10" s="1427"/>
      <c r="BY10" s="1427"/>
      <c r="BZ10" s="1427"/>
      <c r="CA10" s="1427"/>
      <c r="CB10" s="1427"/>
      <c r="CC10" s="1427"/>
      <c r="CD10" s="1427"/>
      <c r="CE10" s="1427"/>
      <c r="CF10" s="1427"/>
      <c r="CG10" s="1427"/>
      <c r="CH10" s="1427"/>
      <c r="CI10" s="1427"/>
      <c r="CJ10" s="1427"/>
      <c r="CK10" s="1427"/>
      <c r="CL10" s="1427"/>
      <c r="CM10" s="1427"/>
      <c r="CN10" s="1427"/>
      <c r="CO10" s="1427"/>
      <c r="CP10" s="1427"/>
      <c r="CQ10" s="1427"/>
      <c r="CR10" s="1427"/>
      <c r="CS10" s="1427"/>
      <c r="CT10" s="1427"/>
      <c r="CU10" s="1427"/>
      <c r="CV10" s="1427"/>
      <c r="CW10" s="1427"/>
      <c r="CX10" s="1427"/>
      <c r="CY10" s="1427"/>
      <c r="CZ10" s="1427"/>
      <c r="DA10" s="1427"/>
      <c r="DB10" s="1427"/>
      <c r="DC10" s="1427"/>
      <c r="DD10" s="1427"/>
      <c r="DE10" s="1427"/>
      <c r="DF10" s="1427"/>
      <c r="DG10" s="1427"/>
      <c r="DH10" s="1427"/>
      <c r="DI10" s="1427"/>
      <c r="DJ10" s="1427"/>
      <c r="DK10" s="1427"/>
      <c r="DL10" s="1427"/>
      <c r="DM10" s="1427"/>
      <c r="DN10" s="1427"/>
      <c r="DO10" s="1427"/>
      <c r="DP10" s="1427"/>
      <c r="DQ10" s="1427"/>
      <c r="DR10" s="1427"/>
      <c r="DS10" s="1427"/>
      <c r="DT10" s="1427"/>
      <c r="DU10" s="1427"/>
      <c r="DV10" s="1427"/>
      <c r="DW10" s="1427"/>
      <c r="DX10" s="1427"/>
      <c r="DY10" s="1427"/>
      <c r="DZ10" s="1427"/>
      <c r="EA10" s="1427"/>
      <c r="EB10" s="1427"/>
      <c r="EC10" s="1427"/>
      <c r="ED10" s="1427"/>
      <c r="EE10" s="1427"/>
      <c r="EF10" s="1427"/>
      <c r="EG10" s="1427"/>
      <c r="EH10" s="1427"/>
      <c r="EI10" s="1427"/>
      <c r="EJ10" s="1427"/>
      <c r="EK10" s="1427"/>
      <c r="EL10" s="1427"/>
      <c r="EM10" s="1427"/>
      <c r="EN10" s="1427"/>
      <c r="EO10" s="1427"/>
      <c r="EP10" s="1427"/>
      <c r="EQ10" s="1427"/>
      <c r="ER10" s="1427"/>
      <c r="ES10" s="1427"/>
      <c r="ET10" s="1427"/>
      <c r="EU10" s="1427"/>
      <c r="EV10" s="1427"/>
      <c r="EW10" s="1427"/>
      <c r="EX10" s="1427"/>
      <c r="EY10" s="1427"/>
      <c r="EZ10" s="1427"/>
      <c r="FA10" s="1427"/>
      <c r="FB10" s="1427"/>
      <c r="FC10" s="1427"/>
      <c r="FD10" s="1427"/>
      <c r="FE10" s="1427"/>
      <c r="FF10" s="1427"/>
      <c r="FG10" s="1427"/>
      <c r="FH10" s="1427"/>
      <c r="FI10" s="1427"/>
      <c r="FJ10" s="1427"/>
      <c r="FK10" s="1427"/>
      <c r="FL10" s="1427"/>
      <c r="FM10" s="1427"/>
      <c r="FN10" s="1427"/>
      <c r="FO10" s="1427"/>
      <c r="FP10" s="1427"/>
      <c r="FQ10" s="1427"/>
      <c r="FR10" s="1427"/>
      <c r="FS10" s="1427"/>
      <c r="FT10" s="1427"/>
      <c r="FU10" s="1427"/>
      <c r="FV10" s="1428"/>
      <c r="FW10" s="1414"/>
      <c r="FX10" s="55"/>
      <c r="GC10" s="537">
        <v>11</v>
      </c>
    </row>
    <row r="11" spans="2:185" ht="12.75" customHeight="1">
      <c r="E11" s="540"/>
      <c r="F11" s="1233" t="s">
        <v>88</v>
      </c>
      <c r="G11" s="1233" t="s">
        <v>1078</v>
      </c>
      <c r="H11" s="1233" t="s">
        <v>1079</v>
      </c>
      <c r="I11" s="1233" t="s">
        <v>1080</v>
      </c>
      <c r="J11" s="1426"/>
      <c r="K11" s="1426"/>
      <c r="L11" s="1426"/>
      <c r="M11" s="1426"/>
      <c r="N11" s="1426"/>
      <c r="O11" s="1237" t="s">
        <v>1081</v>
      </c>
      <c r="P11" s="1237"/>
      <c r="Q11" s="1237"/>
      <c r="R11" s="1237"/>
      <c r="S11" s="1237"/>
      <c r="T11" s="1237"/>
      <c r="U11" s="1237"/>
      <c r="V11" s="1237"/>
      <c r="W11" s="1237"/>
      <c r="X11" s="1237"/>
      <c r="Y11" s="1237"/>
      <c r="Z11" s="1237"/>
      <c r="AA11" s="1237"/>
      <c r="AB11" s="1237"/>
      <c r="AC11" s="1409"/>
      <c r="AD11" s="1409"/>
      <c r="AE11" s="1409"/>
      <c r="AF11" s="1409"/>
      <c r="AG11" s="1409"/>
      <c r="AH11" s="1409"/>
      <c r="AI11" s="1409"/>
      <c r="AJ11" s="1409"/>
      <c r="AK11" s="1409"/>
      <c r="AL11" s="1409"/>
      <c r="AM11" s="1409"/>
      <c r="AN11" s="1409"/>
      <c r="AO11" s="1409"/>
      <c r="AP11" s="1409"/>
      <c r="AQ11" s="1409"/>
      <c r="AR11" s="1409"/>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c r="BP11" s="1409"/>
      <c r="BQ11" s="1409"/>
      <c r="BR11" s="1409"/>
      <c r="BS11" s="1410"/>
      <c r="BT11" s="1376" t="s">
        <v>1081</v>
      </c>
      <c r="BU11" s="1377"/>
      <c r="BV11" s="1377"/>
      <c r="BW11" s="1377"/>
      <c r="BX11" s="1377"/>
      <c r="BY11" s="1377"/>
      <c r="BZ11" s="1377"/>
      <c r="CA11" s="1377"/>
      <c r="CB11" s="1377"/>
      <c r="CC11" s="1377"/>
      <c r="CD11" s="1377"/>
      <c r="CE11" s="1377"/>
      <c r="CF11" s="1377"/>
      <c r="CG11" s="1377"/>
      <c r="CH11" s="1377"/>
      <c r="CI11" s="1377"/>
      <c r="CJ11" s="1377"/>
      <c r="CK11" s="1408"/>
      <c r="CL11" s="1416"/>
      <c r="CM11" s="1409"/>
      <c r="CN11" s="1409"/>
      <c r="CO11" s="1409"/>
      <c r="CP11" s="1409"/>
      <c r="CQ11" s="1409"/>
      <c r="CR11" s="1409"/>
      <c r="CS11" s="1409"/>
      <c r="CT11" s="1409"/>
      <c r="CU11" s="1409"/>
      <c r="CV11" s="1409"/>
      <c r="CW11" s="1409"/>
      <c r="CX11" s="1410"/>
      <c r="CY11" s="1376" t="s">
        <v>1081</v>
      </c>
      <c r="CZ11" s="1377"/>
      <c r="DA11" s="1377"/>
      <c r="DB11" s="1377"/>
      <c r="DC11" s="1377"/>
      <c r="DD11" s="1377"/>
      <c r="DE11" s="1377"/>
      <c r="DF11" s="1377"/>
      <c r="DG11" s="1377"/>
      <c r="DH11" s="1377"/>
      <c r="DI11" s="1377"/>
      <c r="DJ11" s="1408"/>
      <c r="DK11" s="1416"/>
      <c r="DL11" s="1409"/>
      <c r="DM11" s="1409"/>
      <c r="DN11" s="1409"/>
      <c r="DO11" s="1409"/>
      <c r="DP11" s="1409"/>
      <c r="DQ11" s="1409"/>
      <c r="DR11" s="1409"/>
      <c r="DS11" s="1409"/>
      <c r="DT11" s="1409"/>
      <c r="DU11" s="1409"/>
      <c r="DV11" s="1409"/>
      <c r="DW11" s="1409"/>
      <c r="DX11" s="1409"/>
      <c r="DY11" s="1409"/>
      <c r="DZ11" s="1409"/>
      <c r="EA11" s="1409"/>
      <c r="EB11" s="1409"/>
      <c r="EC11" s="1409"/>
      <c r="ED11" s="1409"/>
      <c r="EE11" s="1409"/>
      <c r="EF11" s="1409"/>
      <c r="EG11" s="1409"/>
      <c r="EH11" s="1409"/>
      <c r="EI11" s="1409"/>
      <c r="EJ11" s="1409"/>
      <c r="EK11" s="1409"/>
      <c r="EL11" s="1409"/>
      <c r="EM11" s="1409"/>
      <c r="EN11" s="1409"/>
      <c r="EO11" s="1409"/>
      <c r="EP11" s="1409"/>
      <c r="EQ11" s="1409"/>
      <c r="ER11" s="1409"/>
      <c r="ES11" s="1409"/>
      <c r="ET11" s="1409"/>
      <c r="EU11" s="1409"/>
      <c r="EV11" s="1409"/>
      <c r="EW11" s="1409"/>
      <c r="EX11" s="1409"/>
      <c r="EY11" s="1409"/>
      <c r="EZ11" s="1409"/>
      <c r="FA11" s="1409"/>
      <c r="FB11" s="1409"/>
      <c r="FC11" s="1409"/>
      <c r="FD11" s="1409"/>
      <c r="FE11" s="1409"/>
      <c r="FF11" s="1409"/>
      <c r="FG11" s="1409"/>
      <c r="FH11" s="1409"/>
      <c r="FI11" s="1409"/>
      <c r="FJ11" s="1409"/>
      <c r="FK11" s="1409"/>
      <c r="FL11" s="1409"/>
      <c r="FM11" s="1409"/>
      <c r="FN11" s="1409"/>
      <c r="FO11" s="1409"/>
      <c r="FP11" s="1409"/>
      <c r="FQ11" s="1409"/>
      <c r="FR11" s="1409"/>
      <c r="FS11" s="1409"/>
      <c r="FT11" s="1409"/>
      <c r="FU11" s="1409"/>
      <c r="FV11" s="1409"/>
      <c r="FW11" s="1414"/>
      <c r="FX11" s="33"/>
      <c r="GC11" s="535">
        <v>12</v>
      </c>
    </row>
    <row r="12" spans="2:185" ht="12.75" customHeight="1">
      <c r="D12" s="57"/>
      <c r="E12" s="540"/>
      <c r="F12" s="1233"/>
      <c r="G12" s="1233"/>
      <c r="H12" s="1233"/>
      <c r="I12" s="1233"/>
      <c r="J12" s="1426"/>
      <c r="K12" s="1426"/>
      <c r="L12" s="1426"/>
      <c r="M12" s="1426"/>
      <c r="N12" s="1426"/>
      <c r="O12" s="1237" t="s">
        <v>1082</v>
      </c>
      <c r="P12" s="1237"/>
      <c r="Q12" s="1237"/>
      <c r="R12" s="1237"/>
      <c r="S12" s="1237" t="s">
        <v>1083</v>
      </c>
      <c r="T12" s="1237"/>
      <c r="U12" s="1237"/>
      <c r="V12" s="1237"/>
      <c r="W12" s="1237"/>
      <c r="X12" s="1237"/>
      <c r="Y12" s="1237"/>
      <c r="Z12" s="1237"/>
      <c r="AA12" s="1237"/>
      <c r="AB12" s="1237"/>
      <c r="AC12" s="1409"/>
      <c r="AD12" s="1409"/>
      <c r="AE12" s="1409"/>
      <c r="AF12" s="1409"/>
      <c r="AG12" s="1409"/>
      <c r="AH12" s="1409"/>
      <c r="AI12" s="1409"/>
      <c r="AJ12" s="1409"/>
      <c r="AK12" s="1409"/>
      <c r="AL12" s="1409"/>
      <c r="AM12" s="1409"/>
      <c r="AN12" s="1409"/>
      <c r="AO12" s="1409"/>
      <c r="AP12" s="1409"/>
      <c r="AQ12" s="1409"/>
      <c r="AR12" s="1409"/>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c r="BP12" s="1409"/>
      <c r="BQ12" s="1409"/>
      <c r="BR12" s="1409"/>
      <c r="BS12" s="1410"/>
      <c r="BT12" s="1376" t="s">
        <v>1084</v>
      </c>
      <c r="BU12" s="1377"/>
      <c r="BV12" s="1377"/>
      <c r="BW12" s="1408"/>
      <c r="BX12" s="1376" t="s">
        <v>1085</v>
      </c>
      <c r="BY12" s="1377"/>
      <c r="BZ12" s="1377"/>
      <c r="CA12" s="1408"/>
      <c r="CB12" s="1376" t="s">
        <v>1086</v>
      </c>
      <c r="CC12" s="1408"/>
      <c r="CD12" s="1376" t="s">
        <v>1087</v>
      </c>
      <c r="CE12" s="1377"/>
      <c r="CF12" s="1377"/>
      <c r="CG12" s="1377"/>
      <c r="CH12" s="1377"/>
      <c r="CI12" s="1377"/>
      <c r="CJ12" s="1377"/>
      <c r="CK12" s="1408"/>
      <c r="CL12" s="1416"/>
      <c r="CM12" s="1409"/>
      <c r="CN12" s="1409"/>
      <c r="CO12" s="1409"/>
      <c r="CP12" s="1409"/>
      <c r="CQ12" s="1409"/>
      <c r="CR12" s="1409"/>
      <c r="CS12" s="1409"/>
      <c r="CT12" s="1409"/>
      <c r="CU12" s="1409"/>
      <c r="CV12" s="1409"/>
      <c r="CW12" s="1409"/>
      <c r="CX12" s="1410"/>
      <c r="CY12" s="1376" t="s">
        <v>1088</v>
      </c>
      <c r="CZ12" s="1377"/>
      <c r="DA12" s="1377"/>
      <c r="DB12" s="1377"/>
      <c r="DC12" s="1377"/>
      <c r="DD12" s="1408"/>
      <c r="DE12" s="1376" t="s">
        <v>1089</v>
      </c>
      <c r="DF12" s="1408"/>
      <c r="DG12" s="1376" t="s">
        <v>1087</v>
      </c>
      <c r="DH12" s="1377"/>
      <c r="DI12" s="1377"/>
      <c r="DJ12" s="1408"/>
      <c r="DK12" s="1416"/>
      <c r="DL12" s="1409"/>
      <c r="DM12" s="1409"/>
      <c r="DN12" s="1409"/>
      <c r="DO12" s="1409"/>
      <c r="DP12" s="1409"/>
      <c r="DQ12" s="1409"/>
      <c r="DR12" s="1409"/>
      <c r="DS12" s="1409"/>
      <c r="DT12" s="1409"/>
      <c r="DU12" s="1409"/>
      <c r="DV12" s="1409"/>
      <c r="DW12" s="1409"/>
      <c r="DX12" s="1409"/>
      <c r="DY12" s="1409"/>
      <c r="DZ12" s="1409"/>
      <c r="EA12" s="1409"/>
      <c r="EB12" s="1409"/>
      <c r="EC12" s="1409"/>
      <c r="ED12" s="1409"/>
      <c r="EE12" s="1409"/>
      <c r="EF12" s="1409"/>
      <c r="EG12" s="1409"/>
      <c r="EH12" s="1409"/>
      <c r="EI12" s="1409"/>
      <c r="EJ12" s="1409"/>
      <c r="EK12" s="1409"/>
      <c r="EL12" s="1409"/>
      <c r="EM12" s="1409"/>
      <c r="EN12" s="1409"/>
      <c r="EO12" s="1409"/>
      <c r="EP12" s="1409"/>
      <c r="EQ12" s="1409"/>
      <c r="ER12" s="1409"/>
      <c r="ES12" s="1409"/>
      <c r="ET12" s="1409"/>
      <c r="EU12" s="1409"/>
      <c r="EV12" s="1409"/>
      <c r="EW12" s="1409"/>
      <c r="EX12" s="1409"/>
      <c r="EY12" s="1409"/>
      <c r="EZ12" s="1409"/>
      <c r="FA12" s="1409"/>
      <c r="FB12" s="1409"/>
      <c r="FC12" s="1409"/>
      <c r="FD12" s="1409"/>
      <c r="FE12" s="1409"/>
      <c r="FF12" s="1409"/>
      <c r="FG12" s="1409"/>
      <c r="FH12" s="1409"/>
      <c r="FI12" s="1409"/>
      <c r="FJ12" s="1409"/>
      <c r="FK12" s="1409"/>
      <c r="FL12" s="1409"/>
      <c r="FM12" s="1409"/>
      <c r="FN12" s="1409"/>
      <c r="FO12" s="1409"/>
      <c r="FP12" s="1409"/>
      <c r="FQ12" s="1409"/>
      <c r="FR12" s="1409"/>
      <c r="FS12" s="1409"/>
      <c r="FT12" s="1409"/>
      <c r="FU12" s="1409"/>
      <c r="FV12" s="1409"/>
      <c r="FW12" s="1414"/>
      <c r="FX12" s="33"/>
      <c r="GC12" s="535">
        <v>12</v>
      </c>
    </row>
    <row r="13" spans="2:185" ht="37.9" customHeight="1">
      <c r="D13" s="57"/>
      <c r="E13" s="540"/>
      <c r="F13" s="1233"/>
      <c r="G13" s="1233"/>
      <c r="H13" s="1233"/>
      <c r="I13" s="1233"/>
      <c r="J13" s="1426"/>
      <c r="K13" s="1426"/>
      <c r="L13" s="1426"/>
      <c r="M13" s="1426"/>
      <c r="N13" s="1426"/>
      <c r="O13" s="1237" t="s">
        <v>1090</v>
      </c>
      <c r="P13" s="1237"/>
      <c r="Q13" s="1237"/>
      <c r="R13" s="1237"/>
      <c r="S13" s="1337" t="s">
        <v>1091</v>
      </c>
      <c r="T13" s="1378"/>
      <c r="U13" s="1148" t="s">
        <v>1092</v>
      </c>
      <c r="V13" s="1148"/>
      <c r="W13" s="1148"/>
      <c r="X13" s="1148"/>
      <c r="Y13" s="1148" t="s">
        <v>1093</v>
      </c>
      <c r="Z13" s="1148"/>
      <c r="AA13" s="1148"/>
      <c r="AB13" s="1148"/>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10"/>
      <c r="BT13" s="1337" t="s">
        <v>1094</v>
      </c>
      <c r="BU13" s="1378"/>
      <c r="BV13" s="1337" t="s">
        <v>1095</v>
      </c>
      <c r="BW13" s="1378"/>
      <c r="BX13" s="1337" t="s">
        <v>1096</v>
      </c>
      <c r="BY13" s="1378"/>
      <c r="BZ13" s="1337" t="s">
        <v>1097</v>
      </c>
      <c r="CA13" s="1378"/>
      <c r="CB13" s="1337" t="s">
        <v>1098</v>
      </c>
      <c r="CC13" s="1378"/>
      <c r="CD13" s="1337" t="s">
        <v>1099</v>
      </c>
      <c r="CE13" s="1378"/>
      <c r="CF13" s="1337" t="s">
        <v>1100</v>
      </c>
      <c r="CG13" s="1378"/>
      <c r="CH13" s="1376" t="s">
        <v>1101</v>
      </c>
      <c r="CI13" s="1377"/>
      <c r="CJ13" s="1377"/>
      <c r="CK13" s="1408"/>
      <c r="CL13" s="1416"/>
      <c r="CM13" s="1409"/>
      <c r="CN13" s="1409"/>
      <c r="CO13" s="1409"/>
      <c r="CP13" s="1409"/>
      <c r="CQ13" s="1409"/>
      <c r="CR13" s="1409"/>
      <c r="CS13" s="1409"/>
      <c r="CT13" s="1409"/>
      <c r="CU13" s="1409"/>
      <c r="CV13" s="1409"/>
      <c r="CW13" s="1409"/>
      <c r="CX13" s="1410"/>
      <c r="CY13" s="1337" t="s">
        <v>1102</v>
      </c>
      <c r="CZ13" s="1378"/>
      <c r="DA13" s="1337" t="s">
        <v>1103</v>
      </c>
      <c r="DB13" s="1378"/>
      <c r="DC13" s="1337" t="s">
        <v>1104</v>
      </c>
      <c r="DD13" s="1378"/>
      <c r="DE13" s="1337" t="s">
        <v>1105</v>
      </c>
      <c r="DF13" s="1378"/>
      <c r="DG13" s="1376" t="s">
        <v>1106</v>
      </c>
      <c r="DH13" s="1377"/>
      <c r="DI13" s="1377"/>
      <c r="DJ13" s="1408"/>
      <c r="DK13" s="1416"/>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14"/>
      <c r="FX13" s="33"/>
      <c r="GC13" s="535">
        <v>36</v>
      </c>
    </row>
    <row r="14" spans="2:185" ht="37.9" customHeight="1">
      <c r="D14" s="57"/>
      <c r="E14" s="540"/>
      <c r="F14" s="1233"/>
      <c r="G14" s="1233"/>
      <c r="H14" s="1233"/>
      <c r="I14" s="1233"/>
      <c r="J14" s="1426"/>
      <c r="K14" s="1426"/>
      <c r="L14" s="1426"/>
      <c r="M14" s="1426"/>
      <c r="N14" s="1426"/>
      <c r="O14" s="1337" t="s">
        <v>1107</v>
      </c>
      <c r="P14" s="1378"/>
      <c r="Q14" s="1337" t="s">
        <v>1108</v>
      </c>
      <c r="R14" s="1378"/>
      <c r="S14" s="1338"/>
      <c r="T14" s="1241"/>
      <c r="U14" s="1337" t="s">
        <v>839</v>
      </c>
      <c r="V14" s="1378"/>
      <c r="W14" s="1337" t="s">
        <v>842</v>
      </c>
      <c r="X14" s="1378"/>
      <c r="Y14" s="1337" t="s">
        <v>839</v>
      </c>
      <c r="Z14" s="1378"/>
      <c r="AA14" s="1337" t="s">
        <v>849</v>
      </c>
      <c r="AB14" s="1378"/>
      <c r="AC14" s="1409"/>
      <c r="AD14" s="1409"/>
      <c r="AE14" s="1409"/>
      <c r="AF14" s="1409"/>
      <c r="AG14" s="1409"/>
      <c r="AH14" s="1409"/>
      <c r="AI14" s="1409"/>
      <c r="AJ14" s="1409"/>
      <c r="AK14" s="1409"/>
      <c r="AL14" s="1409"/>
      <c r="AM14" s="1409"/>
      <c r="AN14" s="1409"/>
      <c r="AO14" s="1409"/>
      <c r="AP14" s="1409"/>
      <c r="AQ14" s="1409"/>
      <c r="AR14" s="1409"/>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c r="BP14" s="1409"/>
      <c r="BQ14" s="1409"/>
      <c r="BR14" s="1409"/>
      <c r="BS14" s="1410"/>
      <c r="BT14" s="1338"/>
      <c r="BU14" s="1241"/>
      <c r="BV14" s="1338"/>
      <c r="BW14" s="1241"/>
      <c r="BX14" s="1338"/>
      <c r="BY14" s="1241"/>
      <c r="BZ14" s="1338"/>
      <c r="CA14" s="1241"/>
      <c r="CB14" s="1338"/>
      <c r="CC14" s="1241"/>
      <c r="CD14" s="1338"/>
      <c r="CE14" s="1241"/>
      <c r="CF14" s="1338"/>
      <c r="CG14" s="1241"/>
      <c r="CH14" s="1337" t="s">
        <v>1109</v>
      </c>
      <c r="CI14" s="1378"/>
      <c r="CJ14" s="1337" t="s">
        <v>1110</v>
      </c>
      <c r="CK14" s="1378"/>
      <c r="CL14" s="1416"/>
      <c r="CM14" s="1409"/>
      <c r="CN14" s="1409"/>
      <c r="CO14" s="1409"/>
      <c r="CP14" s="1409"/>
      <c r="CQ14" s="1409"/>
      <c r="CR14" s="1409"/>
      <c r="CS14" s="1409"/>
      <c r="CT14" s="1409"/>
      <c r="CU14" s="1409"/>
      <c r="CV14" s="1409"/>
      <c r="CW14" s="1409"/>
      <c r="CX14" s="1410"/>
      <c r="CY14" s="1338"/>
      <c r="CZ14" s="1241"/>
      <c r="DA14" s="1338"/>
      <c r="DB14" s="1241"/>
      <c r="DC14" s="1338"/>
      <c r="DD14" s="1241"/>
      <c r="DE14" s="1338"/>
      <c r="DF14" s="1241"/>
      <c r="DG14" s="1337" t="s">
        <v>1111</v>
      </c>
      <c r="DH14" s="1378"/>
      <c r="DI14" s="1337" t="s">
        <v>1112</v>
      </c>
      <c r="DJ14" s="1378"/>
      <c r="DK14" s="1416"/>
      <c r="DL14" s="1409"/>
      <c r="DM14" s="1409"/>
      <c r="DN14" s="1409"/>
      <c r="DO14" s="1409"/>
      <c r="DP14" s="1409"/>
      <c r="DQ14" s="1409"/>
      <c r="DR14" s="1409"/>
      <c r="DS14" s="1409"/>
      <c r="DT14" s="1409"/>
      <c r="DU14" s="1409"/>
      <c r="DV14" s="1409"/>
      <c r="DW14" s="1409"/>
      <c r="DX14" s="1409"/>
      <c r="DY14" s="1409"/>
      <c r="DZ14" s="1409"/>
      <c r="EA14" s="1409"/>
      <c r="EB14" s="1409"/>
      <c r="EC14" s="1409"/>
      <c r="ED14" s="1409"/>
      <c r="EE14" s="1409"/>
      <c r="EF14" s="1409"/>
      <c r="EG14" s="1409"/>
      <c r="EH14" s="1409"/>
      <c r="EI14" s="1409"/>
      <c r="EJ14" s="1409"/>
      <c r="EK14" s="1409"/>
      <c r="EL14" s="1409"/>
      <c r="EM14" s="1409"/>
      <c r="EN14" s="1409"/>
      <c r="EO14" s="1409"/>
      <c r="EP14" s="1409"/>
      <c r="EQ14" s="1409"/>
      <c r="ER14" s="1409"/>
      <c r="ES14" s="1409"/>
      <c r="ET14" s="1409"/>
      <c r="EU14" s="1409"/>
      <c r="EV14" s="1409"/>
      <c r="EW14" s="1409"/>
      <c r="EX14" s="1409"/>
      <c r="EY14" s="1409"/>
      <c r="EZ14" s="1409"/>
      <c r="FA14" s="1409"/>
      <c r="FB14" s="1409"/>
      <c r="FC14" s="1409"/>
      <c r="FD14" s="1409"/>
      <c r="FE14" s="1409"/>
      <c r="FF14" s="1409"/>
      <c r="FG14" s="1409"/>
      <c r="FH14" s="1409"/>
      <c r="FI14" s="1409"/>
      <c r="FJ14" s="1409"/>
      <c r="FK14" s="1409"/>
      <c r="FL14" s="1409"/>
      <c r="FM14" s="1409"/>
      <c r="FN14" s="1409"/>
      <c r="FO14" s="1409"/>
      <c r="FP14" s="1409"/>
      <c r="FQ14" s="1409"/>
      <c r="FR14" s="1409"/>
      <c r="FS14" s="1409"/>
      <c r="FT14" s="1409"/>
      <c r="FU14" s="1409"/>
      <c r="FV14" s="1409"/>
      <c r="FW14" s="1414"/>
      <c r="FX14" s="33"/>
      <c r="GC14" s="535">
        <v>36</v>
      </c>
    </row>
    <row r="15" spans="2:185" ht="37.9" customHeight="1">
      <c r="D15" s="57"/>
      <c r="E15" s="540"/>
      <c r="F15" s="1233"/>
      <c r="G15" s="1233"/>
      <c r="H15" s="1233"/>
      <c r="I15" s="1233"/>
      <c r="J15" s="1426"/>
      <c r="K15" s="1426"/>
      <c r="L15" s="1426"/>
      <c r="M15" s="1426"/>
      <c r="N15" s="1426"/>
      <c r="O15" s="1339"/>
      <c r="P15" s="1395"/>
      <c r="Q15" s="1339"/>
      <c r="R15" s="1395"/>
      <c r="S15" s="1339"/>
      <c r="T15" s="1395"/>
      <c r="U15" s="1339"/>
      <c r="V15" s="1395"/>
      <c r="W15" s="1339"/>
      <c r="X15" s="1395"/>
      <c r="Y15" s="1339"/>
      <c r="Z15" s="1395"/>
      <c r="AA15" s="1339"/>
      <c r="AB15" s="1395"/>
      <c r="AC15" s="1409"/>
      <c r="AD15" s="1409"/>
      <c r="AE15" s="1409"/>
      <c r="AF15" s="1409"/>
      <c r="AG15" s="1409"/>
      <c r="AH15" s="1409"/>
      <c r="AI15" s="1409"/>
      <c r="AJ15" s="1409"/>
      <c r="AK15" s="1409"/>
      <c r="AL15" s="1409"/>
      <c r="AM15" s="1409"/>
      <c r="AN15" s="1409"/>
      <c r="AO15" s="1409"/>
      <c r="AP15" s="1409"/>
      <c r="AQ15" s="1409"/>
      <c r="AR15" s="1409"/>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c r="BP15" s="1409"/>
      <c r="BQ15" s="1409"/>
      <c r="BR15" s="1409"/>
      <c r="BS15" s="1410"/>
      <c r="BT15" s="1339"/>
      <c r="BU15" s="1395"/>
      <c r="BV15" s="1339"/>
      <c r="BW15" s="1395"/>
      <c r="BX15" s="1339"/>
      <c r="BY15" s="1395"/>
      <c r="BZ15" s="1339"/>
      <c r="CA15" s="1395"/>
      <c r="CB15" s="1339"/>
      <c r="CC15" s="1395"/>
      <c r="CD15" s="1339"/>
      <c r="CE15" s="1395"/>
      <c r="CF15" s="1339"/>
      <c r="CG15" s="1395"/>
      <c r="CH15" s="1339"/>
      <c r="CI15" s="1395"/>
      <c r="CJ15" s="1339"/>
      <c r="CK15" s="1395"/>
      <c r="CL15" s="1416"/>
      <c r="CM15" s="1409"/>
      <c r="CN15" s="1409"/>
      <c r="CO15" s="1409"/>
      <c r="CP15" s="1409"/>
      <c r="CQ15" s="1409"/>
      <c r="CR15" s="1409"/>
      <c r="CS15" s="1409"/>
      <c r="CT15" s="1409"/>
      <c r="CU15" s="1409"/>
      <c r="CV15" s="1409"/>
      <c r="CW15" s="1409"/>
      <c r="CX15" s="1410"/>
      <c r="CY15" s="1339"/>
      <c r="CZ15" s="1395"/>
      <c r="DA15" s="1339"/>
      <c r="DB15" s="1395"/>
      <c r="DC15" s="1339"/>
      <c r="DD15" s="1395"/>
      <c r="DE15" s="1339"/>
      <c r="DF15" s="1395"/>
      <c r="DG15" s="1339"/>
      <c r="DH15" s="1395"/>
      <c r="DI15" s="1339"/>
      <c r="DJ15" s="1395"/>
      <c r="DK15" s="1416"/>
      <c r="DL15" s="1409"/>
      <c r="DM15" s="1409"/>
      <c r="DN15" s="1409"/>
      <c r="DO15" s="1409"/>
      <c r="DP15" s="1409"/>
      <c r="DQ15" s="1409"/>
      <c r="DR15" s="1409"/>
      <c r="DS15" s="1409"/>
      <c r="DT15" s="1409"/>
      <c r="DU15" s="1409"/>
      <c r="DV15" s="1409"/>
      <c r="DW15" s="1409"/>
      <c r="DX15" s="1409"/>
      <c r="DY15" s="1409"/>
      <c r="DZ15" s="1409"/>
      <c r="EA15" s="1409"/>
      <c r="EB15" s="1409"/>
      <c r="EC15" s="1409"/>
      <c r="ED15" s="1409"/>
      <c r="EE15" s="1409"/>
      <c r="EF15" s="1409"/>
      <c r="EG15" s="1409"/>
      <c r="EH15" s="1409"/>
      <c r="EI15" s="1409"/>
      <c r="EJ15" s="1409"/>
      <c r="EK15" s="1409"/>
      <c r="EL15" s="1409"/>
      <c r="EM15" s="1409"/>
      <c r="EN15" s="1409"/>
      <c r="EO15" s="1409"/>
      <c r="EP15" s="1409"/>
      <c r="EQ15" s="1409"/>
      <c r="ER15" s="1409"/>
      <c r="ES15" s="1409"/>
      <c r="ET15" s="1409"/>
      <c r="EU15" s="1409"/>
      <c r="EV15" s="1409"/>
      <c r="EW15" s="1409"/>
      <c r="EX15" s="1409"/>
      <c r="EY15" s="1409"/>
      <c r="EZ15" s="1409"/>
      <c r="FA15" s="1409"/>
      <c r="FB15" s="1409"/>
      <c r="FC15" s="1409"/>
      <c r="FD15" s="1409"/>
      <c r="FE15" s="1409"/>
      <c r="FF15" s="1409"/>
      <c r="FG15" s="1409"/>
      <c r="FH15" s="1409"/>
      <c r="FI15" s="1409"/>
      <c r="FJ15" s="1409"/>
      <c r="FK15" s="1409"/>
      <c r="FL15" s="1409"/>
      <c r="FM15" s="1409"/>
      <c r="FN15" s="1409"/>
      <c r="FO15" s="1409"/>
      <c r="FP15" s="1409"/>
      <c r="FQ15" s="1409"/>
      <c r="FR15" s="1409"/>
      <c r="FS15" s="1409"/>
      <c r="FT15" s="1409"/>
      <c r="FU15" s="1409"/>
      <c r="FV15" s="1409"/>
      <c r="FW15" s="1414"/>
      <c r="FX15" s="33"/>
      <c r="GC15" s="535">
        <v>36</v>
      </c>
    </row>
    <row r="16" spans="2:185" ht="12.75" customHeight="1">
      <c r="D16" s="57"/>
      <c r="E16" s="540"/>
      <c r="F16" s="1233"/>
      <c r="G16" s="1233"/>
      <c r="H16" s="1233"/>
      <c r="I16" s="1233"/>
      <c r="J16" s="1426"/>
      <c r="K16" s="1426"/>
      <c r="L16" s="1426"/>
      <c r="M16" s="1426"/>
      <c r="N16" s="1426"/>
      <c r="O16" s="1376" t="s">
        <v>829</v>
      </c>
      <c r="P16" s="1408"/>
      <c r="Q16" s="1376" t="s">
        <v>831</v>
      </c>
      <c r="R16" s="1408"/>
      <c r="S16" s="1376" t="s">
        <v>835</v>
      </c>
      <c r="T16" s="1408"/>
      <c r="U16" s="1376" t="s">
        <v>840</v>
      </c>
      <c r="V16" s="1408"/>
      <c r="W16" s="1376" t="s">
        <v>843</v>
      </c>
      <c r="X16" s="1408"/>
      <c r="Y16" s="1376" t="s">
        <v>847</v>
      </c>
      <c r="Z16" s="1408"/>
      <c r="AA16" s="1376" t="s">
        <v>850</v>
      </c>
      <c r="AB16" s="1408"/>
      <c r="AC16" s="1409"/>
      <c r="AD16" s="1409"/>
      <c r="AE16" s="1409"/>
      <c r="AF16" s="1409"/>
      <c r="AG16" s="1409"/>
      <c r="AH16" s="1409"/>
      <c r="AI16" s="1409"/>
      <c r="AJ16" s="1409"/>
      <c r="AK16" s="1409"/>
      <c r="AL16" s="1409"/>
      <c r="AM16" s="1409"/>
      <c r="AN16" s="1409"/>
      <c r="AO16" s="1409"/>
      <c r="AP16" s="1409"/>
      <c r="AQ16" s="1409"/>
      <c r="AR16" s="1409"/>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c r="BP16" s="1409"/>
      <c r="BQ16" s="1409"/>
      <c r="BR16" s="1409"/>
      <c r="BS16" s="1410"/>
      <c r="BT16" s="1376" t="s">
        <v>562</v>
      </c>
      <c r="BU16" s="1408"/>
      <c r="BV16" s="1376" t="s">
        <v>562</v>
      </c>
      <c r="BW16" s="1408"/>
      <c r="BX16" s="1376" t="s">
        <v>562</v>
      </c>
      <c r="BY16" s="1408"/>
      <c r="BZ16" s="1376" t="s">
        <v>562</v>
      </c>
      <c r="CA16" s="1408"/>
      <c r="CB16" s="1376" t="s">
        <v>1113</v>
      </c>
      <c r="CC16" s="1408"/>
      <c r="CD16" s="1376" t="s">
        <v>562</v>
      </c>
      <c r="CE16" s="1408"/>
      <c r="CF16" s="1376" t="s">
        <v>1114</v>
      </c>
      <c r="CG16" s="1408"/>
      <c r="CH16" s="1376" t="s">
        <v>1115</v>
      </c>
      <c r="CI16" s="1408"/>
      <c r="CJ16" s="1376" t="s">
        <v>1115</v>
      </c>
      <c r="CK16" s="1408"/>
      <c r="CL16" s="1416"/>
      <c r="CM16" s="1409"/>
      <c r="CN16" s="1409"/>
      <c r="CO16" s="1409"/>
      <c r="CP16" s="1409"/>
      <c r="CQ16" s="1409"/>
      <c r="CR16" s="1409"/>
      <c r="CS16" s="1409"/>
      <c r="CT16" s="1409"/>
      <c r="CU16" s="1409"/>
      <c r="CV16" s="1409"/>
      <c r="CW16" s="1409"/>
      <c r="CX16" s="1410"/>
      <c r="CY16" s="1337" t="s">
        <v>562</v>
      </c>
      <c r="CZ16" s="1378"/>
      <c r="DA16" s="1337" t="s">
        <v>562</v>
      </c>
      <c r="DB16" s="1378"/>
      <c r="DC16" s="1337" t="s">
        <v>562</v>
      </c>
      <c r="DD16" s="1378"/>
      <c r="DE16" s="1376" t="s">
        <v>1113</v>
      </c>
      <c r="DF16" s="1408"/>
      <c r="DG16" s="1376" t="s">
        <v>1116</v>
      </c>
      <c r="DH16" s="1408"/>
      <c r="DI16" s="1376" t="s">
        <v>1116</v>
      </c>
      <c r="DJ16" s="1408"/>
      <c r="DK16" s="1416"/>
      <c r="DL16" s="1409"/>
      <c r="DM16" s="1409"/>
      <c r="DN16" s="1409"/>
      <c r="DO16" s="1409"/>
      <c r="DP16" s="1409"/>
      <c r="DQ16" s="1409"/>
      <c r="DR16" s="1409"/>
      <c r="DS16" s="1409"/>
      <c r="DT16" s="1409"/>
      <c r="DU16" s="1409"/>
      <c r="DV16" s="1409"/>
      <c r="DW16" s="1409"/>
      <c r="DX16" s="1409"/>
      <c r="DY16" s="1409"/>
      <c r="DZ16" s="1409"/>
      <c r="EA16" s="1409"/>
      <c r="EB16" s="1409"/>
      <c r="EC16" s="1409"/>
      <c r="ED16" s="1409"/>
      <c r="EE16" s="1409"/>
      <c r="EF16" s="1409"/>
      <c r="EG16" s="1409"/>
      <c r="EH16" s="1409"/>
      <c r="EI16" s="1409"/>
      <c r="EJ16" s="1409"/>
      <c r="EK16" s="1409"/>
      <c r="EL16" s="1409"/>
      <c r="EM16" s="1409"/>
      <c r="EN16" s="1409"/>
      <c r="EO16" s="1409"/>
      <c r="EP16" s="1409"/>
      <c r="EQ16" s="1409"/>
      <c r="ER16" s="1409"/>
      <c r="ES16" s="1409"/>
      <c r="ET16" s="1409"/>
      <c r="EU16" s="1409"/>
      <c r="EV16" s="1409"/>
      <c r="EW16" s="1409"/>
      <c r="EX16" s="1409"/>
      <c r="EY16" s="1409"/>
      <c r="EZ16" s="1409"/>
      <c r="FA16" s="1409"/>
      <c r="FB16" s="1409"/>
      <c r="FC16" s="1409"/>
      <c r="FD16" s="1409"/>
      <c r="FE16" s="1409"/>
      <c r="FF16" s="1409"/>
      <c r="FG16" s="1409"/>
      <c r="FH16" s="1409"/>
      <c r="FI16" s="1409"/>
      <c r="FJ16" s="1409"/>
      <c r="FK16" s="1409"/>
      <c r="FL16" s="1409"/>
      <c r="FM16" s="1409"/>
      <c r="FN16" s="1409"/>
      <c r="FO16" s="1409"/>
      <c r="FP16" s="1409"/>
      <c r="FQ16" s="1409"/>
      <c r="FR16" s="1409"/>
      <c r="FS16" s="1409"/>
      <c r="FT16" s="1409"/>
      <c r="FU16" s="1409"/>
      <c r="FV16" s="1409"/>
      <c r="FW16" s="1414"/>
      <c r="FX16" s="33"/>
      <c r="GC16" s="535">
        <v>12</v>
      </c>
    </row>
    <row r="17" spans="1:185" ht="15.75" customHeight="1">
      <c r="E17" s="540"/>
      <c r="F17" s="1233"/>
      <c r="G17" s="1233"/>
      <c r="H17" s="1233"/>
      <c r="I17" s="1233"/>
      <c r="J17" s="1426"/>
      <c r="K17" s="1426"/>
      <c r="L17" s="1426"/>
      <c r="M17" s="1426"/>
      <c r="N17" s="1426"/>
      <c r="O17" s="36" t="s">
        <v>1117</v>
      </c>
      <c r="P17" s="36" t="s">
        <v>1118</v>
      </c>
      <c r="Q17" s="36" t="s">
        <v>1117</v>
      </c>
      <c r="R17" s="36" t="s">
        <v>1118</v>
      </c>
      <c r="S17" s="36" t="s">
        <v>1117</v>
      </c>
      <c r="T17" s="36" t="s">
        <v>1118</v>
      </c>
      <c r="U17" s="36" t="s">
        <v>1117</v>
      </c>
      <c r="V17" s="36" t="s">
        <v>1118</v>
      </c>
      <c r="W17" s="36" t="s">
        <v>1117</v>
      </c>
      <c r="X17" s="36" t="s">
        <v>1118</v>
      </c>
      <c r="Y17" s="36" t="s">
        <v>1117</v>
      </c>
      <c r="Z17" s="36" t="s">
        <v>1118</v>
      </c>
      <c r="AA17" s="36" t="s">
        <v>1117</v>
      </c>
      <c r="AB17" s="36" t="s">
        <v>1118</v>
      </c>
      <c r="AC17" s="1409"/>
      <c r="AD17" s="1409"/>
      <c r="AE17" s="1409"/>
      <c r="AF17" s="1409"/>
      <c r="AG17" s="1409"/>
      <c r="AH17" s="1409"/>
      <c r="AI17" s="1409"/>
      <c r="AJ17" s="1409"/>
      <c r="AK17" s="1409"/>
      <c r="AL17" s="1409"/>
      <c r="AM17" s="1409"/>
      <c r="AN17" s="1409"/>
      <c r="AO17" s="1409"/>
      <c r="AP17" s="1409"/>
      <c r="AQ17" s="1409"/>
      <c r="AR17" s="1409"/>
      <c r="AS17" s="1409"/>
      <c r="AT17" s="1409"/>
      <c r="AU17" s="1409"/>
      <c r="AV17" s="1409"/>
      <c r="AW17" s="1409"/>
      <c r="AX17" s="1409"/>
      <c r="AY17" s="1409"/>
      <c r="AZ17" s="1409"/>
      <c r="BA17" s="1409"/>
      <c r="BB17" s="1409"/>
      <c r="BC17" s="1409"/>
      <c r="BD17" s="1409"/>
      <c r="BE17" s="1409"/>
      <c r="BF17" s="1409"/>
      <c r="BG17" s="1409"/>
      <c r="BH17" s="1409"/>
      <c r="BI17" s="1409"/>
      <c r="BJ17" s="1409"/>
      <c r="BK17" s="1409"/>
      <c r="BL17" s="1409"/>
      <c r="BM17" s="1409"/>
      <c r="BN17" s="1409"/>
      <c r="BO17" s="1409"/>
      <c r="BP17" s="1409"/>
      <c r="BQ17" s="1409"/>
      <c r="BR17" s="1409"/>
      <c r="BS17" s="1410"/>
      <c r="BT17" s="36" t="s">
        <v>1117</v>
      </c>
      <c r="BU17" s="36" t="s">
        <v>1118</v>
      </c>
      <c r="BV17" s="36" t="s">
        <v>1117</v>
      </c>
      <c r="BW17" s="36" t="s">
        <v>1118</v>
      </c>
      <c r="BX17" s="36" t="s">
        <v>1117</v>
      </c>
      <c r="BY17" s="36" t="s">
        <v>1118</v>
      </c>
      <c r="BZ17" s="36" t="s">
        <v>1117</v>
      </c>
      <c r="CA17" s="36" t="s">
        <v>1118</v>
      </c>
      <c r="CB17" s="36" t="s">
        <v>1117</v>
      </c>
      <c r="CC17" s="36" t="s">
        <v>1118</v>
      </c>
      <c r="CD17" s="36" t="s">
        <v>1117</v>
      </c>
      <c r="CE17" s="36" t="s">
        <v>1118</v>
      </c>
      <c r="CF17" s="36" t="s">
        <v>1117</v>
      </c>
      <c r="CG17" s="36" t="s">
        <v>1118</v>
      </c>
      <c r="CH17" s="36" t="s">
        <v>1117</v>
      </c>
      <c r="CI17" s="36" t="s">
        <v>1118</v>
      </c>
      <c r="CJ17" s="36" t="s">
        <v>1117</v>
      </c>
      <c r="CK17" s="36" t="s">
        <v>1118</v>
      </c>
      <c r="CL17" s="1416"/>
      <c r="CM17" s="1409"/>
      <c r="CN17" s="1409"/>
      <c r="CO17" s="1409"/>
      <c r="CP17" s="1409"/>
      <c r="CQ17" s="1409"/>
      <c r="CR17" s="1409"/>
      <c r="CS17" s="1409"/>
      <c r="CT17" s="1409"/>
      <c r="CU17" s="1409"/>
      <c r="CV17" s="1409"/>
      <c r="CW17" s="1409"/>
      <c r="CX17" s="1410"/>
      <c r="CY17" s="36" t="s">
        <v>1117</v>
      </c>
      <c r="CZ17" s="36" t="s">
        <v>1118</v>
      </c>
      <c r="DA17" s="36" t="s">
        <v>1117</v>
      </c>
      <c r="DB17" s="36" t="s">
        <v>1118</v>
      </c>
      <c r="DC17" s="36" t="s">
        <v>1117</v>
      </c>
      <c r="DD17" s="36" t="s">
        <v>1118</v>
      </c>
      <c r="DE17" s="36" t="s">
        <v>1117</v>
      </c>
      <c r="DF17" s="36" t="s">
        <v>1118</v>
      </c>
      <c r="DG17" s="36" t="s">
        <v>1117</v>
      </c>
      <c r="DH17" s="36" t="s">
        <v>1118</v>
      </c>
      <c r="DI17" s="36" t="s">
        <v>1117</v>
      </c>
      <c r="DJ17" s="36" t="s">
        <v>1118</v>
      </c>
      <c r="DK17" s="1416"/>
      <c r="DL17" s="1409"/>
      <c r="DM17" s="1409"/>
      <c r="DN17" s="1409"/>
      <c r="DO17" s="1409"/>
      <c r="DP17" s="1409"/>
      <c r="DQ17" s="1409"/>
      <c r="DR17" s="1409"/>
      <c r="DS17" s="1409"/>
      <c r="DT17" s="1409"/>
      <c r="DU17" s="1409"/>
      <c r="DV17" s="1409"/>
      <c r="DW17" s="1409"/>
      <c r="DX17" s="1409"/>
      <c r="DY17" s="1409"/>
      <c r="DZ17" s="1409"/>
      <c r="EA17" s="1409"/>
      <c r="EB17" s="1409"/>
      <c r="EC17" s="1409"/>
      <c r="ED17" s="1409"/>
      <c r="EE17" s="1409"/>
      <c r="EF17" s="1409"/>
      <c r="EG17" s="1409"/>
      <c r="EH17" s="1409"/>
      <c r="EI17" s="1409"/>
      <c r="EJ17" s="1409"/>
      <c r="EK17" s="1409"/>
      <c r="EL17" s="1409"/>
      <c r="EM17" s="1409"/>
      <c r="EN17" s="1409"/>
      <c r="EO17" s="1409"/>
      <c r="EP17" s="1409"/>
      <c r="EQ17" s="1409"/>
      <c r="ER17" s="1409"/>
      <c r="ES17" s="1409"/>
      <c r="ET17" s="1409"/>
      <c r="EU17" s="1409"/>
      <c r="EV17" s="1409"/>
      <c r="EW17" s="1409"/>
      <c r="EX17" s="1409"/>
      <c r="EY17" s="1409"/>
      <c r="EZ17" s="1409"/>
      <c r="FA17" s="1409"/>
      <c r="FB17" s="1409"/>
      <c r="FC17" s="1409"/>
      <c r="FD17" s="1409"/>
      <c r="FE17" s="1409"/>
      <c r="FF17" s="1409"/>
      <c r="FG17" s="1409"/>
      <c r="FH17" s="1409"/>
      <c r="FI17" s="1409"/>
      <c r="FJ17" s="1409"/>
      <c r="FK17" s="1409"/>
      <c r="FL17" s="1409"/>
      <c r="FM17" s="1409"/>
      <c r="FN17" s="1409"/>
      <c r="FO17" s="1409"/>
      <c r="FP17" s="1409"/>
      <c r="FQ17" s="1409"/>
      <c r="FR17" s="1409"/>
      <c r="FS17" s="1409"/>
      <c r="FT17" s="1409"/>
      <c r="FU17" s="1409"/>
      <c r="FV17" s="1409"/>
      <c r="FW17" s="1415"/>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380</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12.75" customHeight="1">
      <c r="A21" s="57"/>
      <c r="B21" s="57"/>
      <c r="C21" s="57"/>
      <c r="D21" s="57"/>
      <c r="E21" s="57"/>
      <c r="F21" s="541"/>
      <c r="G21" s="541"/>
      <c r="H21" s="541"/>
      <c r="I21" s="541"/>
      <c r="J21" s="541"/>
      <c r="K21" s="541"/>
      <c r="L21" s="541"/>
      <c r="M21" s="541"/>
      <c r="N21" s="541"/>
      <c r="O21" s="541"/>
      <c r="P21" s="541"/>
      <c r="Q21" s="541"/>
      <c r="R21" s="541"/>
      <c r="S21" s="542"/>
      <c r="T21" s="542"/>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c r="EA21" s="541"/>
      <c r="EB21" s="541"/>
      <c r="EC21" s="541"/>
      <c r="ED21" s="541"/>
      <c r="EE21" s="541"/>
      <c r="EF21" s="541"/>
      <c r="EG21" s="541"/>
      <c r="EH21" s="541"/>
      <c r="EI21" s="541"/>
      <c r="EJ21" s="541"/>
      <c r="EK21" s="541"/>
      <c r="EL21" s="541"/>
      <c r="EM21" s="541"/>
      <c r="EN21" s="541"/>
      <c r="EO21" s="541"/>
      <c r="EP21" s="541"/>
      <c r="EQ21" s="541"/>
      <c r="ER21" s="541"/>
      <c r="ES21" s="541"/>
      <c r="ET21" s="541"/>
      <c r="EU21" s="541"/>
      <c r="EV21" s="541"/>
      <c r="EW21" s="541"/>
      <c r="EX21" s="541"/>
      <c r="EY21" s="541"/>
      <c r="EZ21" s="541"/>
      <c r="FA21" s="541"/>
      <c r="FB21" s="541"/>
      <c r="FC21" s="541"/>
      <c r="FD21" s="541"/>
      <c r="FE21" s="541"/>
      <c r="FF21" s="541"/>
      <c r="FG21" s="541"/>
      <c r="FH21" s="541"/>
      <c r="FI21" s="541"/>
      <c r="FJ21" s="541"/>
      <c r="FK21" s="541"/>
      <c r="FL21" s="541"/>
      <c r="FM21" s="541"/>
      <c r="FN21" s="541"/>
      <c r="FO21" s="541"/>
      <c r="FP21" s="541"/>
      <c r="FQ21" s="541"/>
      <c r="FR21" s="541"/>
      <c r="FS21" s="541"/>
      <c r="FT21" s="541"/>
      <c r="FU21" s="541"/>
      <c r="FV21" s="541"/>
      <c r="FW21" s="541"/>
      <c r="FX21" s="57"/>
      <c r="FY21" s="57"/>
      <c r="FZ21" s="57"/>
      <c r="GA21" s="57"/>
      <c r="GB21" s="57"/>
      <c r="GC21" s="533">
        <v>12</v>
      </c>
    </row>
    <row r="22" spans="1:185" s="533" customFormat="1" ht="12.75" customHeight="1">
      <c r="A22" s="57"/>
      <c r="B22" s="57"/>
      <c r="C22" s="57"/>
      <c r="D22" s="57"/>
      <c r="E22" s="57"/>
      <c r="FX22" s="57"/>
      <c r="FY22" s="57"/>
      <c r="FZ22" s="57"/>
      <c r="GA22" s="57"/>
      <c r="GB22" s="57"/>
      <c r="GC22" s="533">
        <v>12</v>
      </c>
    </row>
    <row r="23" spans="1:185" s="535" customFormat="1" ht="12.75" customHeight="1">
      <c r="A23" s="57"/>
      <c r="B23" s="57"/>
      <c r="C23" s="57"/>
      <c r="D23" s="57"/>
      <c r="E23" s="57"/>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626"/>
      <c r="BU23" s="626"/>
      <c r="BV23" s="626"/>
      <c r="BW23" s="626"/>
      <c r="BX23" s="626"/>
      <c r="BY23" s="626"/>
      <c r="BZ23" s="626"/>
      <c r="CA23" s="626"/>
      <c r="CB23" s="626"/>
      <c r="CC23" s="626"/>
      <c r="CD23" s="626"/>
      <c r="CE23" s="626"/>
      <c r="CF23" s="626"/>
      <c r="CG23" s="626"/>
      <c r="CH23" s="626"/>
      <c r="CI23" s="626"/>
      <c r="CJ23" s="626"/>
      <c r="CK23" s="626"/>
      <c r="CL23" s="626"/>
      <c r="CM23" s="626"/>
      <c r="CN23" s="626"/>
      <c r="CO23" s="626"/>
      <c r="CP23" s="626"/>
      <c r="CQ23" s="626"/>
      <c r="CR23" s="626"/>
      <c r="CS23" s="626"/>
      <c r="CT23" s="626"/>
      <c r="CU23" s="626"/>
      <c r="CV23" s="626"/>
      <c r="CW23" s="626"/>
      <c r="CX23" s="626"/>
      <c r="CY23" s="626"/>
      <c r="CZ23" s="626"/>
      <c r="DA23" s="626"/>
      <c r="DB23" s="626"/>
      <c r="DC23" s="626"/>
      <c r="DD23" s="626"/>
      <c r="DE23" s="626"/>
      <c r="DF23" s="626"/>
      <c r="DG23" s="626"/>
      <c r="DH23" s="626"/>
      <c r="DI23" s="626"/>
      <c r="DJ23" s="626"/>
      <c r="DK23" s="626"/>
      <c r="DL23" s="626"/>
      <c r="DM23" s="626"/>
      <c r="DN23" s="626"/>
      <c r="DO23" s="626"/>
      <c r="DP23" s="626"/>
      <c r="DQ23" s="626"/>
      <c r="DR23" s="626"/>
      <c r="DS23" s="626"/>
      <c r="DT23" s="626"/>
      <c r="DU23" s="626"/>
      <c r="DV23" s="626"/>
      <c r="DW23" s="626"/>
      <c r="DX23" s="626"/>
      <c r="FX23" s="57"/>
      <c r="FY23" s="57"/>
      <c r="FZ23" s="57"/>
      <c r="GA23" s="57"/>
      <c r="GB23" s="57"/>
      <c r="GC23" s="535">
        <v>12</v>
      </c>
    </row>
    <row r="24" spans="1:185" ht="12.75" customHeight="1">
      <c r="S24" s="57"/>
      <c r="T24" s="57"/>
      <c r="U24" s="57"/>
      <c r="V24" s="57"/>
      <c r="W24" s="57"/>
      <c r="X24" s="57"/>
      <c r="Y24" s="57"/>
      <c r="Z24" s="57"/>
      <c r="AA24" s="57"/>
      <c r="AB24" s="57"/>
      <c r="FX24" s="57"/>
      <c r="FY24" s="57"/>
      <c r="FZ24" s="57"/>
      <c r="GA24" s="57"/>
      <c r="GB24" s="57"/>
      <c r="GC24" s="535">
        <v>12</v>
      </c>
    </row>
    <row r="25" spans="1:185" ht="12" hidden="1" customHeight="1">
      <c r="A25" s="535" t="s">
        <v>82</v>
      </c>
      <c r="B25" s="536">
        <v>0</v>
      </c>
      <c r="C25" s="535">
        <v>0</v>
      </c>
      <c r="D25" s="535">
        <v>0</v>
      </c>
      <c r="E25" s="535">
        <v>3</v>
      </c>
      <c r="F25" s="535">
        <v>6</v>
      </c>
      <c r="G25" s="535">
        <v>18</v>
      </c>
      <c r="H25" s="535">
        <v>27</v>
      </c>
      <c r="I25" s="535">
        <v>18</v>
      </c>
      <c r="J25" s="535">
        <v>0</v>
      </c>
      <c r="K25" s="535">
        <v>0</v>
      </c>
      <c r="L25" s="535">
        <v>0</v>
      </c>
      <c r="M25" s="535">
        <v>0</v>
      </c>
      <c r="N25" s="535">
        <v>0</v>
      </c>
      <c r="O25" s="535">
        <v>0</v>
      </c>
      <c r="P25" s="535">
        <v>0</v>
      </c>
      <c r="Q25" s="535">
        <v>0</v>
      </c>
      <c r="R25" s="535">
        <v>0</v>
      </c>
      <c r="S25" s="535">
        <v>0</v>
      </c>
      <c r="T25" s="535">
        <v>0</v>
      </c>
      <c r="U25" s="535">
        <v>0</v>
      </c>
      <c r="V25" s="535">
        <v>0</v>
      </c>
      <c r="W25" s="535">
        <v>0</v>
      </c>
      <c r="X25" s="535">
        <v>0</v>
      </c>
      <c r="Y25" s="535">
        <v>0</v>
      </c>
      <c r="Z25" s="535">
        <v>0</v>
      </c>
      <c r="AA25" s="535">
        <v>0</v>
      </c>
      <c r="AB25" s="535">
        <v>0</v>
      </c>
      <c r="AC25" s="535">
        <v>0</v>
      </c>
      <c r="AD25" s="535">
        <v>0</v>
      </c>
      <c r="AE25" s="535">
        <v>0</v>
      </c>
      <c r="AF25" s="535">
        <v>0</v>
      </c>
      <c r="AG25" s="535">
        <v>0</v>
      </c>
      <c r="AH25" s="535">
        <v>0</v>
      </c>
      <c r="AI25" s="535">
        <v>0</v>
      </c>
      <c r="AJ25" s="535">
        <v>0</v>
      </c>
      <c r="AK25" s="535">
        <v>0</v>
      </c>
      <c r="AL25" s="535">
        <v>0</v>
      </c>
      <c r="AM25" s="535">
        <v>0</v>
      </c>
      <c r="AN25" s="535">
        <v>0</v>
      </c>
      <c r="AO25" s="535">
        <v>0</v>
      </c>
      <c r="AP25" s="535">
        <v>0</v>
      </c>
      <c r="AQ25" s="535">
        <v>0</v>
      </c>
      <c r="AR25" s="535">
        <v>0</v>
      </c>
      <c r="AS25" s="535">
        <v>0</v>
      </c>
      <c r="AT25" s="535">
        <v>0</v>
      </c>
      <c r="AU25" s="535">
        <v>0</v>
      </c>
      <c r="AV25" s="535">
        <v>0</v>
      </c>
      <c r="AW25" s="535">
        <v>0</v>
      </c>
      <c r="AX25" s="535">
        <v>0</v>
      </c>
      <c r="AY25" s="535">
        <v>0</v>
      </c>
      <c r="AZ25" s="535">
        <v>0</v>
      </c>
      <c r="BA25" s="535">
        <v>0</v>
      </c>
      <c r="BB25" s="535">
        <v>0</v>
      </c>
      <c r="BC25" s="535">
        <v>0</v>
      </c>
      <c r="BD25" s="535">
        <v>0</v>
      </c>
      <c r="BE25" s="535">
        <v>0</v>
      </c>
      <c r="BF25" s="535">
        <v>0</v>
      </c>
      <c r="BG25" s="535">
        <v>0</v>
      </c>
      <c r="BH25" s="535">
        <v>0</v>
      </c>
      <c r="BI25" s="535">
        <v>0</v>
      </c>
      <c r="BJ25" s="535">
        <v>0</v>
      </c>
      <c r="BK25" s="535">
        <v>0</v>
      </c>
      <c r="BL25" s="535">
        <v>0</v>
      </c>
      <c r="BM25" s="535">
        <v>0</v>
      </c>
      <c r="BN25" s="535">
        <v>0</v>
      </c>
      <c r="BO25" s="535">
        <v>0</v>
      </c>
      <c r="BP25" s="535">
        <v>0</v>
      </c>
      <c r="BQ25" s="535">
        <v>0</v>
      </c>
      <c r="BR25" s="535">
        <v>0</v>
      </c>
      <c r="BS25" s="535">
        <v>0</v>
      </c>
      <c r="BT25" s="535">
        <v>0</v>
      </c>
      <c r="BU25" s="535">
        <v>0</v>
      </c>
      <c r="BV25" s="535">
        <v>0</v>
      </c>
      <c r="BW25" s="535">
        <v>0</v>
      </c>
      <c r="BX25" s="535">
        <v>0</v>
      </c>
      <c r="BY25" s="535">
        <v>0</v>
      </c>
      <c r="BZ25" s="535">
        <v>0</v>
      </c>
      <c r="CA25" s="535">
        <v>0</v>
      </c>
      <c r="CB25" s="535">
        <v>0</v>
      </c>
      <c r="CC25" s="535">
        <v>0</v>
      </c>
      <c r="CD25" s="535">
        <v>0</v>
      </c>
      <c r="CE25" s="535">
        <v>0</v>
      </c>
      <c r="CF25" s="535">
        <v>0</v>
      </c>
      <c r="CG25" s="535">
        <v>0</v>
      </c>
      <c r="CH25" s="535">
        <v>0</v>
      </c>
      <c r="CI25" s="535">
        <v>0</v>
      </c>
      <c r="CJ25" s="535">
        <v>0</v>
      </c>
      <c r="CK25" s="535">
        <v>0</v>
      </c>
      <c r="CL25" s="535">
        <v>0</v>
      </c>
      <c r="CM25" s="535">
        <v>0</v>
      </c>
      <c r="CN25" s="535">
        <v>0</v>
      </c>
      <c r="CO25" s="535">
        <v>0</v>
      </c>
      <c r="CP25" s="535">
        <v>0</v>
      </c>
      <c r="CQ25" s="535">
        <v>0</v>
      </c>
      <c r="CR25" s="535">
        <v>0</v>
      </c>
      <c r="CS25" s="535">
        <v>0</v>
      </c>
      <c r="CT25" s="535">
        <v>0</v>
      </c>
      <c r="CU25" s="535">
        <v>0</v>
      </c>
      <c r="CV25" s="535">
        <v>0</v>
      </c>
      <c r="CW25" s="535">
        <v>0</v>
      </c>
      <c r="CX25" s="535">
        <v>0</v>
      </c>
      <c r="CY25" s="535">
        <v>0</v>
      </c>
      <c r="CZ25" s="535">
        <v>0</v>
      </c>
      <c r="DA25" s="535">
        <v>0</v>
      </c>
      <c r="DB25" s="535">
        <v>0</v>
      </c>
      <c r="DC25" s="535">
        <v>0</v>
      </c>
      <c r="DD25" s="535">
        <v>0</v>
      </c>
      <c r="DE25" s="535">
        <v>0</v>
      </c>
      <c r="DF25" s="535">
        <v>0</v>
      </c>
      <c r="DG25" s="535">
        <v>0</v>
      </c>
      <c r="DH25" s="535">
        <v>0</v>
      </c>
      <c r="DI25" s="535">
        <v>0</v>
      </c>
      <c r="DJ25" s="535">
        <v>0</v>
      </c>
      <c r="DK25" s="535">
        <v>0</v>
      </c>
      <c r="DL25" s="535">
        <v>0</v>
      </c>
      <c r="DM25" s="535">
        <v>0</v>
      </c>
      <c r="DN25" s="535">
        <v>0</v>
      </c>
      <c r="DO25" s="535">
        <v>0</v>
      </c>
      <c r="DP25" s="535">
        <v>0</v>
      </c>
      <c r="DQ25" s="535">
        <v>0</v>
      </c>
      <c r="DR25" s="535">
        <v>0</v>
      </c>
      <c r="DS25" s="535">
        <v>0</v>
      </c>
      <c r="DT25" s="535">
        <v>0</v>
      </c>
      <c r="DU25" s="535">
        <v>0</v>
      </c>
      <c r="DV25" s="535">
        <v>0</v>
      </c>
      <c r="DW25" s="535">
        <v>0</v>
      </c>
      <c r="DX25" s="535">
        <v>0</v>
      </c>
      <c r="DY25" s="535">
        <v>0</v>
      </c>
      <c r="DZ25" s="535">
        <v>0</v>
      </c>
      <c r="EA25" s="535">
        <v>0</v>
      </c>
      <c r="EB25" s="535">
        <v>0</v>
      </c>
      <c r="EC25" s="535">
        <v>0</v>
      </c>
      <c r="ED25" s="535">
        <v>0</v>
      </c>
      <c r="EE25" s="535">
        <v>0</v>
      </c>
      <c r="EF25" s="535">
        <v>0</v>
      </c>
      <c r="EG25" s="535">
        <v>0</v>
      </c>
      <c r="EH25" s="535">
        <v>0</v>
      </c>
      <c r="EI25" s="535">
        <v>0</v>
      </c>
      <c r="EJ25" s="535">
        <v>0</v>
      </c>
      <c r="EK25" s="535">
        <v>0</v>
      </c>
      <c r="EL25" s="535">
        <v>0</v>
      </c>
      <c r="EM25" s="535">
        <v>0</v>
      </c>
      <c r="EN25" s="535">
        <v>0</v>
      </c>
      <c r="EO25" s="535">
        <v>0</v>
      </c>
      <c r="EP25" s="535">
        <v>0</v>
      </c>
      <c r="EQ25" s="535">
        <v>0</v>
      </c>
      <c r="ER25" s="535">
        <v>0</v>
      </c>
      <c r="ES25" s="535">
        <v>0</v>
      </c>
      <c r="ET25" s="535">
        <v>0</v>
      </c>
      <c r="EU25" s="535">
        <v>0</v>
      </c>
      <c r="EV25" s="535">
        <v>0</v>
      </c>
      <c r="EW25" s="535">
        <v>0</v>
      </c>
      <c r="EX25" s="535">
        <v>0</v>
      </c>
      <c r="EY25" s="535">
        <v>0</v>
      </c>
      <c r="EZ25" s="535">
        <v>0</v>
      </c>
      <c r="FA25" s="535">
        <v>0</v>
      </c>
      <c r="FB25" s="535">
        <v>0</v>
      </c>
      <c r="FC25" s="535">
        <v>0</v>
      </c>
      <c r="FD25" s="535">
        <v>0</v>
      </c>
      <c r="FE25" s="535">
        <v>0</v>
      </c>
      <c r="FF25" s="535">
        <v>0</v>
      </c>
      <c r="FG25" s="535">
        <v>0</v>
      </c>
      <c r="FH25" s="535">
        <v>0</v>
      </c>
      <c r="FI25" s="535">
        <v>0</v>
      </c>
      <c r="FJ25" s="535">
        <v>0</v>
      </c>
      <c r="FK25" s="535">
        <v>0</v>
      </c>
      <c r="FL25" s="535">
        <v>0</v>
      </c>
      <c r="FM25" s="535">
        <v>0</v>
      </c>
      <c r="FN25" s="535">
        <v>0</v>
      </c>
      <c r="FO25" s="535">
        <v>0</v>
      </c>
      <c r="FP25" s="535">
        <v>0</v>
      </c>
      <c r="FQ25" s="535">
        <v>0</v>
      </c>
      <c r="FR25" s="535">
        <v>0</v>
      </c>
      <c r="FS25" s="535">
        <v>0</v>
      </c>
      <c r="FT25" s="535">
        <v>0</v>
      </c>
      <c r="FU25" s="535">
        <v>0</v>
      </c>
      <c r="FV25" s="535">
        <v>0</v>
      </c>
      <c r="FW25" s="535">
        <v>0</v>
      </c>
      <c r="FX25" s="535">
        <v>8</v>
      </c>
      <c r="FY25" s="535">
        <v>8</v>
      </c>
      <c r="FZ25" s="535">
        <v>8</v>
      </c>
      <c r="GA25" s="535">
        <v>8</v>
      </c>
      <c r="GB25" s="535">
        <v>8</v>
      </c>
      <c r="GC25"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2ACE7-DE12-430A-3087-F6C28DBE69BB}">
  <sheetPr>
    <tabColor theme="2" tint="-9.9978637043366805E-2"/>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K22" sqref="K22"/>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42.42578125" style="11" hidden="1" customWidth="1"/>
    <col min="8" max="8" width="40.7109375" style="11" customWidth="1"/>
    <col min="9" max="9" width="93" style="63" customWidth="1"/>
    <col min="10" max="17" width="10" style="11" customWidth="1"/>
    <col min="18" max="18" width="10" style="302" customWidth="1"/>
    <col min="19" max="19" width="10.5703125" style="11" hidden="1"/>
  </cols>
  <sheetData>
    <row r="1" spans="1:19" s="63" customFormat="1" ht="15" hidden="1" customHeight="1">
      <c r="C1" s="301"/>
      <c r="H1" s="63">
        <v>4</v>
      </c>
      <c r="R1" s="236"/>
      <c r="S1" s="63" t="s">
        <v>14</v>
      </c>
    </row>
    <row r="2" spans="1:19" ht="22.5" hidden="1" customHeight="1">
      <c r="C2" s="1039" t="s">
        <v>104</v>
      </c>
      <c r="D2" s="43"/>
      <c r="E2" s="217"/>
      <c r="F2" s="41" t="str">
        <f>IF(TEMPLATE_SPHERE="HEAT","Гкал/час","тыс. куб. м/сутки")</f>
        <v>Гкал/час</v>
      </c>
      <c r="G2" s="386"/>
      <c r="H2" s="386"/>
      <c r="I2" s="67"/>
      <c r="S2" s="11">
        <v>0</v>
      </c>
    </row>
    <row r="3" spans="1:19" s="63" customFormat="1" ht="15" hidden="1" customHeight="1">
      <c r="C3" s="301"/>
      <c r="R3" s="236"/>
      <c r="S3" s="63">
        <v>0</v>
      </c>
    </row>
    <row r="4" spans="1:19" ht="15.75" customHeight="1">
      <c r="S4" s="11">
        <v>15</v>
      </c>
    </row>
    <row r="5" spans="1:19" ht="39.75" customHeight="1">
      <c r="D5" s="125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1256"/>
      <c r="F5" s="1256"/>
      <c r="G5" s="1256"/>
      <c r="H5" s="1256"/>
      <c r="S5" s="11">
        <v>38</v>
      </c>
    </row>
    <row r="6" spans="1:19" ht="15.75" customHeight="1">
      <c r="D6" s="1229" t="str">
        <f>IF(org=0,"Не определено",org)</f>
        <v>ООО "Инженерные сети"</v>
      </c>
      <c r="E6" s="1229"/>
      <c r="F6" s="1229"/>
      <c r="G6" s="1229"/>
      <c r="H6" s="1229"/>
      <c r="S6" s="11">
        <v>15</v>
      </c>
    </row>
    <row r="7" spans="1:19" s="11" customFormat="1" ht="15.75" customHeight="1">
      <c r="A7" s="8"/>
      <c r="C7" s="87"/>
      <c r="D7" s="342"/>
      <c r="E7" s="342"/>
      <c r="F7" s="342"/>
      <c r="G7" s="342"/>
      <c r="H7" s="435"/>
      <c r="I7" s="63"/>
      <c r="R7" s="302"/>
      <c r="S7" s="11">
        <v>15</v>
      </c>
    </row>
    <row r="8" spans="1:19" ht="1.1499999999999999" customHeight="1">
      <c r="H8" s="63" t="s">
        <v>122</v>
      </c>
      <c r="S8" s="11">
        <v>1</v>
      </c>
    </row>
    <row r="9" spans="1:19" ht="15.75" customHeight="1">
      <c r="D9" s="409"/>
      <c r="E9" s="1362" t="s">
        <v>111</v>
      </c>
      <c r="F9" s="1363"/>
      <c r="G9" s="467" t="str">
        <f>IF(G8="","",INDEX(DIFFERENTIATION_UNMERGE_VD,MATCH(G8,DIFFERENTIATION_ID_DIFF,0)))</f>
        <v/>
      </c>
      <c r="H9" s="467" t="str">
        <f>IF(H8="","",INDEX(DIFFERENTIATION_UNMERGE_VD,MATCH(H8,DIFFERENTIATION_ID_DIFF,0)))</f>
        <v>Производство тепловой энергии. Некомбинированная выработка</v>
      </c>
      <c r="I9" s="1148" t="s">
        <v>305</v>
      </c>
      <c r="S9" s="11">
        <v>15</v>
      </c>
    </row>
    <row r="10" spans="1:19" s="11" customFormat="1" ht="15.75" customHeight="1">
      <c r="A10" s="8"/>
      <c r="C10" s="87"/>
      <c r="D10" s="409"/>
      <c r="E10" s="1362" t="s">
        <v>568</v>
      </c>
      <c r="F10" s="1363"/>
      <c r="G10" s="467" t="str">
        <f>IF(G8="","",INDEX(DIFFERENTIATION_UNMERGE_AREA,MATCH(G8,DIFFERENTIATION_ID_DIFF,0)))</f>
        <v/>
      </c>
      <c r="H10" s="467" t="str">
        <f>IF(H8="","",INDEX(DIFFERENTIATION_UNMERGE_AREA,MATCH(H8,DIFFERENTIATION_ID_DIFF,0)))</f>
        <v>Территория 1</v>
      </c>
      <c r="I10" s="1148"/>
      <c r="R10" s="302"/>
      <c r="S10" s="11">
        <v>15</v>
      </c>
    </row>
    <row r="11" spans="1:19" s="11" customFormat="1" ht="15.75" customHeight="1">
      <c r="A11" s="8"/>
      <c r="C11" s="87"/>
      <c r="D11" s="409"/>
      <c r="E11" s="1362" t="s">
        <v>569</v>
      </c>
      <c r="F11" s="1363"/>
      <c r="G11" s="467" t="str">
        <f>IF(G8="","",INDEX(DIFFERENTIATION_UNMERGE_SYSTEM,MATCH(G8,DIFFERENTIATION_ID_DIFF,0)))</f>
        <v/>
      </c>
      <c r="H11" s="467" t="str">
        <f>IF(H8="","",INDEX(DIFFERENTIATION_UNMERGE_SYSTEM,MATCH(H8,DIFFERENTIATION_ID_DIFF,0)))</f>
        <v>без дифференциации</v>
      </c>
      <c r="I11" s="1148"/>
      <c r="R11" s="302"/>
      <c r="S11" s="11">
        <v>15</v>
      </c>
    </row>
    <row r="12" spans="1:19" s="11" customFormat="1" ht="15.75" customHeight="1">
      <c r="A12" s="8"/>
      <c r="C12" s="87"/>
      <c r="D12" s="1364" t="s">
        <v>304</v>
      </c>
      <c r="E12" s="1365"/>
      <c r="F12" s="1365"/>
      <c r="G12" s="512"/>
      <c r="H12" s="512"/>
      <c r="I12" s="1148"/>
      <c r="R12" s="302"/>
      <c r="S12" s="11">
        <v>15</v>
      </c>
    </row>
    <row r="13" spans="1:19" ht="35.65" customHeight="1">
      <c r="D13" s="41" t="s">
        <v>88</v>
      </c>
      <c r="E13" s="41" t="s">
        <v>306</v>
      </c>
      <c r="F13" s="41" t="s">
        <v>570</v>
      </c>
      <c r="G13" s="389" t="s">
        <v>307</v>
      </c>
      <c r="H13" s="389" t="s">
        <v>307</v>
      </c>
      <c r="I13" s="1148"/>
      <c r="S13" s="11">
        <v>34</v>
      </c>
    </row>
    <row r="14" spans="1:19" ht="15" hidden="1" customHeight="1">
      <c r="D14" s="344" t="s">
        <v>115</v>
      </c>
      <c r="E14" s="344" t="s">
        <v>103</v>
      </c>
      <c r="F14" s="344" t="s">
        <v>90</v>
      </c>
      <c r="G14" s="87" t="str">
        <f>G1&amp;".1"</f>
        <v>.1</v>
      </c>
      <c r="H14" s="87" t="str">
        <f>H1&amp;".1"</f>
        <v>4.1</v>
      </c>
      <c r="I14" s="67"/>
      <c r="S14" s="11">
        <v>0</v>
      </c>
    </row>
    <row r="15" spans="1:19" ht="15.75" customHeight="1">
      <c r="A15" s="11"/>
      <c r="C15" s="77"/>
      <c r="D15" s="41">
        <v>1</v>
      </c>
      <c r="E15" s="152" t="str">
        <f>TP_P_A</f>
        <v>Количество поданных заявок</v>
      </c>
      <c r="F15" s="41" t="s">
        <v>1119</v>
      </c>
      <c r="G15" s="390"/>
      <c r="H15" s="390">
        <v>0</v>
      </c>
      <c r="I15" s="11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11">
        <v>15</v>
      </c>
    </row>
    <row r="16" spans="1:19" ht="15.75" customHeight="1">
      <c r="A16" s="11"/>
      <c r="C16" s="77"/>
      <c r="D16" s="41">
        <v>2</v>
      </c>
      <c r="E16" s="152" t="str">
        <f>TP_P_B</f>
        <v>Количество рассмотренных заявок</v>
      </c>
      <c r="F16" s="41" t="s">
        <v>1119</v>
      </c>
      <c r="G16" s="390"/>
      <c r="H16" s="390">
        <v>0</v>
      </c>
      <c r="I16" s="11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11">
        <v>15</v>
      </c>
    </row>
    <row r="17" spans="1:19" ht="77.650000000000006" customHeight="1">
      <c r="A17" s="11"/>
      <c r="C17" s="77"/>
      <c r="D17" s="41">
        <v>3</v>
      </c>
      <c r="E17" s="1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1" t="s">
        <v>1119</v>
      </c>
      <c r="G17" s="390"/>
      <c r="H17" s="390">
        <v>0</v>
      </c>
      <c r="I17" s="114" t="str">
        <f>TP_P_NOTE_V</f>
        <v>Указывается количество заявок с решением об отказе в течение отчетного квартала.</v>
      </c>
      <c r="S17" s="11">
        <v>74</v>
      </c>
    </row>
    <row r="18" spans="1:19" ht="54.75" customHeight="1">
      <c r="A18" s="11"/>
      <c r="C18" s="77"/>
      <c r="D18" s="41">
        <v>4</v>
      </c>
      <c r="E18" s="152" t="str">
        <f>TP_P_V_1</f>
        <v>Причины отказа в заключении договора о подключении (технологическом присоединении) к системе теплоснабжения</v>
      </c>
      <c r="F18" s="41" t="s">
        <v>310</v>
      </c>
      <c r="G18" s="391"/>
      <c r="H18" s="391"/>
      <c r="I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11">
        <v>52</v>
      </c>
    </row>
    <row r="19" spans="1:19" ht="60" customHeight="1">
      <c r="A19" s="11"/>
      <c r="C19" s="77"/>
      <c r="D19" s="41">
        <v>5</v>
      </c>
      <c r="E19" s="152" t="str">
        <f>TP_P_G</f>
        <v>Резерв мощности источников тепловой энергии, входящих в систему теплоснабжения, в течение одного квартала, в том числе:</v>
      </c>
      <c r="F19" s="41" t="str">
        <f>IF(TEMPLATE_SPHERE="HEAT","Гкал/час","тыс. куб. м/сутки")</f>
        <v>Гкал/час</v>
      </c>
      <c r="G19" s="392">
        <f>SUM(G20:G22)</f>
        <v>0</v>
      </c>
      <c r="H19" s="392">
        <f>SUM(H20:H22)</f>
        <v>1.1299999999999999</v>
      </c>
      <c r="I19" s="11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11">
        <v>57</v>
      </c>
    </row>
    <row r="20" spans="1:19" ht="15" hidden="1" customHeight="1">
      <c r="D20" s="11" t="s">
        <v>1120</v>
      </c>
      <c r="E20" s="342"/>
      <c r="I20" s="970"/>
      <c r="S20" s="11">
        <v>0</v>
      </c>
    </row>
    <row r="21" spans="1:19" ht="29.25" customHeight="1">
      <c r="C21" s="77"/>
      <c r="D21" s="43" t="s">
        <v>317</v>
      </c>
      <c r="E21" s="119" t="s">
        <v>1121</v>
      </c>
      <c r="F21" s="41" t="str">
        <f>IF(TEMPLATE_SPHERE="HEAT","Гкал/час","тыс. куб. м/сутки")</f>
        <v>Гкал/час</v>
      </c>
      <c r="G21" s="386"/>
      <c r="H21" s="386">
        <v>1.1299999999999999</v>
      </c>
      <c r="I21" s="119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11">
        <v>28</v>
      </c>
    </row>
    <row r="22" spans="1:19" ht="15.75" customHeight="1">
      <c r="A22" s="11"/>
      <c r="C22" s="11"/>
      <c r="D22" s="40"/>
      <c r="E22" s="110" t="s">
        <v>1122</v>
      </c>
      <c r="F22" s="334"/>
      <c r="G22" s="334"/>
      <c r="H22" s="334"/>
      <c r="I22" s="1194"/>
      <c r="R22" s="11"/>
      <c r="S22" s="11">
        <v>15</v>
      </c>
    </row>
    <row r="23" spans="1:19" ht="22.5" hidden="1" customHeight="1">
      <c r="A23" s="8" t="s">
        <v>82</v>
      </c>
      <c r="B23" s="11">
        <v>0</v>
      </c>
      <c r="C23" s="87">
        <v>4</v>
      </c>
      <c r="D23" s="11">
        <v>6</v>
      </c>
      <c r="E23" s="11">
        <v>36</v>
      </c>
      <c r="F23" s="11">
        <v>9</v>
      </c>
      <c r="G23" s="11">
        <v>0</v>
      </c>
      <c r="H23" s="11">
        <v>40</v>
      </c>
      <c r="I23" s="63">
        <v>93</v>
      </c>
      <c r="J23" s="11">
        <v>10</v>
      </c>
      <c r="K23" s="11">
        <v>10</v>
      </c>
      <c r="L23" s="11">
        <v>10</v>
      </c>
      <c r="M23" s="11">
        <v>10</v>
      </c>
      <c r="N23" s="11">
        <v>10</v>
      </c>
      <c r="O23" s="11">
        <v>10</v>
      </c>
      <c r="P23" s="11">
        <v>10</v>
      </c>
      <c r="Q23" s="11">
        <v>10</v>
      </c>
      <c r="R23" s="302">
        <v>10</v>
      </c>
      <c r="S23" s="1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0866141732283472" right="0.70866141732283472" top="0.74803149606299213" bottom="0.74803149606299213" header="0.31496062992125984" footer="0.31496062992125984"/>
  <pageSetup paperSize="9" scale="7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4ADCF-0052-7FE7-C366-0015404F53BF}">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57031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19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1199"/>
      <c r="F5" s="1199"/>
      <c r="G5" s="1200"/>
      <c r="Q5" s="11">
        <v>28</v>
      </c>
    </row>
    <row r="6" spans="1:17" s="11" customFormat="1" ht="18.75" customHeight="1">
      <c r="A6" s="33"/>
      <c r="B6" s="63"/>
      <c r="C6" s="28"/>
      <c r="D6" s="1251" t="str">
        <f>IF(org=0,"Не определено",org)</f>
        <v>ООО "Инженерные сети"</v>
      </c>
      <c r="E6" s="1252"/>
      <c r="F6" s="1252"/>
      <c r="G6" s="1253"/>
      <c r="I6" s="69"/>
      <c r="J6" s="69"/>
      <c r="Q6" s="11">
        <v>18</v>
      </c>
    </row>
    <row r="7" spans="1:17" ht="14.65" customHeight="1">
      <c r="C7" s="28"/>
      <c r="D7" s="10"/>
      <c r="E7" s="14"/>
      <c r="F7" s="435"/>
      <c r="G7" s="101"/>
      <c r="Q7" s="11">
        <v>14</v>
      </c>
    </row>
    <row r="8" spans="1:17" s="11" customFormat="1" ht="1.1499999999999999" customHeight="1">
      <c r="A8" s="33"/>
      <c r="B8" s="63"/>
      <c r="C8" s="28"/>
      <c r="D8" s="10"/>
      <c r="E8" s="14"/>
      <c r="F8" s="435"/>
      <c r="G8" s="101"/>
      <c r="I8" s="69"/>
      <c r="J8" s="69"/>
      <c r="Q8" s="11">
        <v>1</v>
      </c>
    </row>
    <row r="9" spans="1:17" ht="14.65" customHeight="1">
      <c r="C9" s="28"/>
      <c r="D9" s="1237" t="s">
        <v>304</v>
      </c>
      <c r="E9" s="1237"/>
      <c r="F9" s="1237"/>
      <c r="G9" s="1379" t="s">
        <v>305</v>
      </c>
      <c r="Q9" s="11">
        <v>14</v>
      </c>
    </row>
    <row r="10" spans="1:17" ht="24" customHeight="1">
      <c r="C10" s="28"/>
      <c r="D10" s="36" t="s">
        <v>88</v>
      </c>
      <c r="E10" s="39" t="s">
        <v>306</v>
      </c>
      <c r="F10" s="39" t="s">
        <v>394</v>
      </c>
      <c r="G10" s="1379"/>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9" t="s">
        <v>310</v>
      </c>
      <c r="G12" s="67"/>
      <c r="Q12" s="11">
        <v>62</v>
      </c>
    </row>
    <row r="13" spans="1:17" ht="24" customHeight="1">
      <c r="A13" s="34"/>
      <c r="C13" s="28"/>
      <c r="D13" s="64" t="s">
        <v>1026</v>
      </c>
      <c r="E13" s="10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310</v>
      </c>
      <c r="G13" s="67"/>
      <c r="Q13" s="11">
        <v>23</v>
      </c>
    </row>
    <row r="14" spans="1:17" ht="14.65" customHeight="1">
      <c r="A14" s="34"/>
      <c r="C14" s="28"/>
      <c r="D14" s="64" t="s">
        <v>1062</v>
      </c>
      <c r="E14" s="103"/>
      <c r="F14" s="117"/>
      <c r="G14" s="119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1123</v>
      </c>
      <c r="F15" s="108"/>
      <c r="G15" s="1194"/>
      <c r="Q15" s="11">
        <v>15</v>
      </c>
    </row>
    <row r="16" spans="1:17" ht="14.65" customHeight="1">
      <c r="A16" s="34"/>
      <c r="C16" s="28"/>
      <c r="D16" s="64" t="s">
        <v>1028</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9" t="s">
        <v>310</v>
      </c>
      <c r="G16" s="172"/>
      <c r="Q16" s="11">
        <v>14</v>
      </c>
    </row>
    <row r="17" spans="1:17" ht="14.65" customHeight="1">
      <c r="A17" s="34"/>
      <c r="C17" s="28"/>
      <c r="D17" s="64" t="s">
        <v>1070</v>
      </c>
      <c r="E17" s="103"/>
      <c r="F17" s="220"/>
      <c r="G17" s="119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11">
        <v>14</v>
      </c>
    </row>
    <row r="18" spans="1:17" s="11" customFormat="1" ht="21.95" customHeight="1">
      <c r="A18" s="34"/>
      <c r="B18" s="63"/>
      <c r="C18" s="28"/>
      <c r="D18" s="40"/>
      <c r="E18" s="111" t="s">
        <v>1124</v>
      </c>
      <c r="F18" s="51"/>
      <c r="G18" s="1194"/>
      <c r="I18" s="69"/>
      <c r="J18" s="69"/>
      <c r="Q18" s="11">
        <v>21</v>
      </c>
    </row>
    <row r="19" spans="1:17" s="11" customFormat="1" ht="256.5" hidden="1" customHeight="1">
      <c r="A19" s="34"/>
      <c r="B19" s="63"/>
      <c r="C19" s="28"/>
      <c r="D19" s="64" t="s">
        <v>1030</v>
      </c>
      <c r="E19" s="102" t="s">
        <v>1125</v>
      </c>
      <c r="F19" s="220"/>
      <c r="G19" s="172" t="s">
        <v>1126</v>
      </c>
      <c r="I19" s="69"/>
      <c r="J19" s="69"/>
      <c r="Q19" s="11">
        <v>0</v>
      </c>
    </row>
    <row r="20" spans="1:17" s="11" customFormat="1" ht="14.65" customHeight="1">
      <c r="A20" s="34"/>
      <c r="B20" s="63"/>
      <c r="C20" s="28"/>
      <c r="D20" s="252">
        <v>2</v>
      </c>
      <c r="E20" s="102" t="s">
        <v>1127</v>
      </c>
      <c r="F20" s="39" t="s">
        <v>310</v>
      </c>
      <c r="G20" s="172"/>
      <c r="I20" s="69"/>
      <c r="J20" s="69"/>
      <c r="Q20" s="11">
        <v>14</v>
      </c>
    </row>
    <row r="21" spans="1:17" s="11" customFormat="1" ht="18.75" hidden="1" customHeight="1">
      <c r="A21" s="34"/>
      <c r="B21" s="63"/>
      <c r="C21" s="28"/>
      <c r="D21" s="195" t="s">
        <v>640</v>
      </c>
      <c r="E21" s="194"/>
      <c r="F21" s="193"/>
      <c r="G21" s="201"/>
      <c r="H21" s="196"/>
      <c r="I21" s="69"/>
      <c r="J21" s="69"/>
      <c r="Q21" s="11">
        <v>0</v>
      </c>
    </row>
    <row r="22" spans="1:17" ht="15.75" customHeight="1">
      <c r="A22" s="34"/>
      <c r="C22" s="28"/>
      <c r="D22" s="40"/>
      <c r="E22" s="110" t="s">
        <v>326</v>
      </c>
      <c r="F22" s="51"/>
      <c r="G22" s="199"/>
      <c r="Q22" s="11">
        <v>15</v>
      </c>
    </row>
    <row r="23" spans="1:17" s="11" customFormat="1" ht="22.5" hidden="1" customHeight="1">
      <c r="A23" s="34"/>
      <c r="B23" s="63"/>
      <c r="C23" s="28"/>
      <c r="D23" s="64" t="s">
        <v>103</v>
      </c>
      <c r="E23" s="105" t="s">
        <v>1128</v>
      </c>
      <c r="F23" s="39" t="s">
        <v>310</v>
      </c>
      <c r="G23" s="67"/>
      <c r="I23" s="69"/>
      <c r="J23" s="69"/>
      <c r="Q23" s="11">
        <v>0</v>
      </c>
    </row>
    <row r="24" spans="1:17" s="11" customFormat="1" ht="14.25" hidden="1" customHeight="1">
      <c r="A24" s="34"/>
      <c r="B24" s="63"/>
      <c r="C24" s="28"/>
      <c r="D24" s="64" t="s">
        <v>712</v>
      </c>
      <c r="E24" s="102" t="s">
        <v>1129</v>
      </c>
      <c r="F24" s="39" t="s">
        <v>310</v>
      </c>
      <c r="G24" s="172"/>
      <c r="I24" s="69"/>
      <c r="J24" s="69"/>
      <c r="Q24" s="11">
        <v>0</v>
      </c>
    </row>
    <row r="25" spans="1:17" s="11" customFormat="1" ht="14.25" hidden="1" customHeight="1">
      <c r="A25" s="34"/>
      <c r="B25" s="63"/>
      <c r="C25" s="28"/>
      <c r="D25" s="64" t="s">
        <v>715</v>
      </c>
      <c r="E25" s="103"/>
      <c r="F25" s="220"/>
      <c r="G25" s="1192" t="s">
        <v>1130</v>
      </c>
      <c r="I25" s="69"/>
      <c r="J25" s="69"/>
      <c r="Q25" s="11">
        <v>0</v>
      </c>
    </row>
    <row r="26" spans="1:17" s="11" customFormat="1" ht="22.5" hidden="1" customHeight="1">
      <c r="A26" s="34"/>
      <c r="B26" s="63"/>
      <c r="C26" s="28"/>
      <c r="D26" s="40"/>
      <c r="E26" s="111" t="s">
        <v>1131</v>
      </c>
      <c r="F26" s="51"/>
      <c r="G26" s="1194"/>
      <c r="I26" s="69"/>
      <c r="J26" s="69"/>
      <c r="Q26" s="11">
        <v>0</v>
      </c>
    </row>
    <row r="27" spans="1:17" ht="3" customHeight="1">
      <c r="Q27" s="11">
        <v>3</v>
      </c>
    </row>
    <row r="28" spans="1:17" ht="14.65" customHeight="1">
      <c r="D28" s="198"/>
      <c r="E28" s="197"/>
      <c r="F28" s="4"/>
      <c r="G28" s="4"/>
      <c r="H28" s="4"/>
      <c r="I28" s="4"/>
      <c r="J28" s="4"/>
      <c r="K28" s="4"/>
      <c r="L28" s="4"/>
      <c r="M28" s="4"/>
      <c r="N28" s="4"/>
      <c r="O28" s="4"/>
      <c r="P28" s="4"/>
      <c r="Q28" s="11">
        <v>14</v>
      </c>
    </row>
    <row r="29" spans="1:17" ht="14.65" customHeight="1">
      <c r="D29" s="198"/>
      <c r="E29" s="17"/>
      <c r="Q29" s="11">
        <v>14</v>
      </c>
    </row>
    <row r="30" spans="1:17" ht="14.65" customHeight="1">
      <c r="Q30" s="11">
        <v>14</v>
      </c>
    </row>
    <row r="31" spans="1:17" ht="14.65" customHeight="1">
      <c r="Q31" s="11">
        <v>14</v>
      </c>
    </row>
    <row r="32" spans="1:17" ht="22.5" hidden="1" customHeight="1">
      <c r="A32" s="33" t="s">
        <v>82</v>
      </c>
      <c r="B32" s="63">
        <v>0</v>
      </c>
      <c r="C32" s="29">
        <v>3</v>
      </c>
      <c r="D32" s="11">
        <v>6</v>
      </c>
      <c r="E32" s="11">
        <v>64</v>
      </c>
      <c r="F32" s="11">
        <v>64</v>
      </c>
      <c r="G32" s="11">
        <v>140</v>
      </c>
      <c r="H32" s="11">
        <v>10</v>
      </c>
      <c r="I32" s="69">
        <v>10</v>
      </c>
      <c r="J32" s="69">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29C74-BDBD-C934-7B76-103C4AA2ABF1}">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506" hidden="1" customWidth="1"/>
    <col min="2" max="2" width="9.140625" style="63"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9" customWidth="1"/>
    <col min="13" max="13" width="10.5703125" style="11" hidden="1"/>
  </cols>
  <sheetData>
    <row r="1" spans="1:13" ht="22.5" hidden="1" customHeight="1">
      <c r="M1" s="11" t="s">
        <v>14</v>
      </c>
    </row>
    <row r="2" spans="1:13" s="11" customFormat="1" ht="18.75" hidden="1" customHeight="1">
      <c r="A2" s="62"/>
      <c r="B2" s="63"/>
      <c r="C2" s="939" t="s">
        <v>104</v>
      </c>
      <c r="D2" s="64"/>
      <c r="E2" s="106"/>
      <c r="F2" s="39"/>
      <c r="G2" s="39" t="s">
        <v>310</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104</v>
      </c>
      <c r="D4" s="64"/>
      <c r="E4" s="102" t="s">
        <v>1132</v>
      </c>
      <c r="F4" s="39"/>
      <c r="G4" s="151"/>
      <c r="H4" s="39" t="s">
        <v>310</v>
      </c>
      <c r="K4" s="69"/>
      <c r="L4" s="69"/>
      <c r="M4" s="11">
        <v>0</v>
      </c>
    </row>
    <row r="5" spans="1:13" s="11" customFormat="1" ht="14.25" hidden="1" customHeight="1">
      <c r="A5" s="506"/>
      <c r="B5" s="63"/>
      <c r="C5" s="29"/>
      <c r="K5" s="69"/>
      <c r="L5" s="69"/>
      <c r="M5" s="11">
        <v>0</v>
      </c>
    </row>
    <row r="6" spans="1:13" s="11" customFormat="1" ht="18.75" hidden="1" customHeight="1">
      <c r="A6" s="62"/>
      <c r="B6" s="63"/>
      <c r="C6" s="939" t="s">
        <v>104</v>
      </c>
      <c r="D6" s="64"/>
      <c r="E6" s="112" t="s">
        <v>1133</v>
      </c>
      <c r="F6" s="39"/>
      <c r="G6" s="151"/>
      <c r="H6" s="39" t="s">
        <v>310</v>
      </c>
      <c r="K6" s="69"/>
      <c r="L6" s="69"/>
      <c r="M6" s="11">
        <v>0</v>
      </c>
    </row>
    <row r="7" spans="1:13" s="11" customFormat="1" ht="14.25" hidden="1" customHeight="1">
      <c r="A7" s="506"/>
      <c r="B7" s="63"/>
      <c r="C7" s="29"/>
      <c r="K7" s="69"/>
      <c r="L7" s="69"/>
      <c r="M7" s="11">
        <v>0</v>
      </c>
    </row>
    <row r="8" spans="1:13" s="11" customFormat="1" ht="18.75" hidden="1" customHeight="1">
      <c r="A8" s="62"/>
      <c r="B8" s="63"/>
      <c r="C8" s="939" t="s">
        <v>104</v>
      </c>
      <c r="D8" s="64"/>
      <c r="E8" s="112" t="s">
        <v>1134</v>
      </c>
      <c r="F8" s="39"/>
      <c r="G8" s="151"/>
      <c r="H8" s="39" t="s">
        <v>310</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104</v>
      </c>
      <c r="D10" s="64"/>
      <c r="E10" s="112" t="s">
        <v>1135</v>
      </c>
      <c r="F10" s="39"/>
      <c r="G10" s="113"/>
      <c r="H10" s="39" t="s">
        <v>310</v>
      </c>
      <c r="K10" s="69"/>
      <c r="L10" s="69" t="s">
        <v>1136</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19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1199"/>
      <c r="F14" s="1199"/>
      <c r="G14" s="1199"/>
      <c r="H14" s="1200"/>
      <c r="M14" s="11">
        <v>28</v>
      </c>
    </row>
    <row r="15" spans="1:13" s="11" customFormat="1" ht="14.65" customHeight="1">
      <c r="A15" s="506"/>
      <c r="B15" s="63"/>
      <c r="C15" s="28"/>
      <c r="D15" s="1251" t="str">
        <f>IF(org=0,"Не определено",org)</f>
        <v>ООО "Инженерные сети"</v>
      </c>
      <c r="E15" s="1252"/>
      <c r="F15" s="1252"/>
      <c r="G15" s="1252"/>
      <c r="H15" s="1253"/>
      <c r="J15" s="489"/>
      <c r="K15" s="69"/>
      <c r="L15" s="69"/>
      <c r="M15" s="11">
        <v>14</v>
      </c>
    </row>
    <row r="16" spans="1:13" ht="14.65"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1.95" customHeight="1">
      <c r="C18" s="28"/>
      <c r="D18" s="1237" t="s">
        <v>304</v>
      </c>
      <c r="E18" s="1237"/>
      <c r="F18" s="1237"/>
      <c r="G18" s="1237"/>
      <c r="H18" s="1237"/>
      <c r="I18" s="1379" t="s">
        <v>305</v>
      </c>
      <c r="M18" s="11">
        <v>21</v>
      </c>
    </row>
    <row r="19" spans="1:13" ht="21.95" customHeight="1">
      <c r="C19" s="28"/>
      <c r="D19" s="36" t="s">
        <v>88</v>
      </c>
      <c r="E19" s="39" t="s">
        <v>306</v>
      </c>
      <c r="F19" s="39"/>
      <c r="G19" s="39" t="s">
        <v>307</v>
      </c>
      <c r="H19" s="39" t="s">
        <v>394</v>
      </c>
      <c r="I19" s="1379"/>
      <c r="M19" s="11">
        <v>21</v>
      </c>
    </row>
    <row r="20" spans="1:13" ht="12" hidden="1" customHeight="1">
      <c r="C20" s="28"/>
      <c r="D20" s="22"/>
      <c r="E20" s="22"/>
      <c r="F20" s="22"/>
      <c r="G20" s="22"/>
      <c r="H20" s="22"/>
      <c r="I20" s="22"/>
      <c r="M20" s="11">
        <v>0</v>
      </c>
    </row>
    <row r="21" spans="1:13" ht="14.65" customHeight="1">
      <c r="A21" s="62"/>
      <c r="C21" s="28"/>
      <c r="D21" s="64">
        <v>1</v>
      </c>
      <c r="E21" s="1430" t="s">
        <v>1137</v>
      </c>
      <c r="F21" s="1430"/>
      <c r="G21" s="1430"/>
      <c r="H21" s="1430"/>
      <c r="I21" s="114"/>
      <c r="M21" s="11">
        <v>14</v>
      </c>
    </row>
    <row r="22" spans="1:13" ht="21" customHeight="1">
      <c r="A22" s="62"/>
      <c r="C22" s="28"/>
      <c r="D22" s="64" t="s">
        <v>1026</v>
      </c>
      <c r="E22" s="102" t="s">
        <v>1138</v>
      </c>
      <c r="F22" s="39"/>
      <c r="G22" s="946"/>
      <c r="H22" s="39" t="s">
        <v>310</v>
      </c>
      <c r="I22" s="67" t="s">
        <v>1139</v>
      </c>
      <c r="M22" s="11">
        <v>20</v>
      </c>
    </row>
    <row r="23" spans="1:13" ht="60" customHeight="1">
      <c r="A23" s="62"/>
      <c r="C23" s="28"/>
      <c r="D23" s="64" t="s">
        <v>1028</v>
      </c>
      <c r="E23" s="102" t="s">
        <v>1140</v>
      </c>
      <c r="F23" s="39"/>
      <c r="G23" s="151"/>
      <c r="H23" s="117"/>
      <c r="I23" s="152" t="s">
        <v>1141</v>
      </c>
      <c r="M23" s="11">
        <v>57</v>
      </c>
    </row>
    <row r="24" spans="1:13" ht="14.6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9"/>
      <c r="G24" s="39" t="s">
        <v>310</v>
      </c>
      <c r="H24" s="117"/>
      <c r="I24" s="153" t="s">
        <v>635</v>
      </c>
      <c r="M24" s="11">
        <v>14</v>
      </c>
    </row>
    <row r="25" spans="1:13" ht="48.2" customHeight="1">
      <c r="A25" s="62"/>
      <c r="C25" s="28"/>
      <c r="D25" s="64">
        <v>3</v>
      </c>
      <c r="E25" s="143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1430"/>
      <c r="G25" s="1430"/>
      <c r="H25" s="1430"/>
      <c r="I25" s="114"/>
      <c r="M25" s="11">
        <v>46</v>
      </c>
    </row>
    <row r="26" spans="1:13" ht="14.65" customHeight="1">
      <c r="A26" s="62"/>
      <c r="C26" s="28"/>
      <c r="D26" s="64" t="s">
        <v>328</v>
      </c>
      <c r="E26" s="106"/>
      <c r="F26" s="39"/>
      <c r="G26" s="39" t="s">
        <v>310</v>
      </c>
      <c r="H26" s="117"/>
      <c r="I26" s="1192" t="s">
        <v>1142</v>
      </c>
      <c r="M26" s="11">
        <v>14</v>
      </c>
    </row>
    <row r="27" spans="1:13" ht="15.75" customHeight="1">
      <c r="A27" s="62" t="s">
        <v>115</v>
      </c>
      <c r="C27" s="28"/>
      <c r="D27" s="40"/>
      <c r="E27" s="110" t="s">
        <v>326</v>
      </c>
      <c r="F27" s="111"/>
      <c r="G27" s="111"/>
      <c r="H27" s="108"/>
      <c r="I27" s="1194"/>
      <c r="M27" s="11">
        <v>15</v>
      </c>
    </row>
    <row r="28" spans="1:13" ht="39.75" customHeight="1">
      <c r="A28" s="62"/>
      <c r="B28" s="63">
        <v>3</v>
      </c>
      <c r="C28" s="28"/>
      <c r="D28" s="64">
        <v>4</v>
      </c>
      <c r="E28" s="143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1430"/>
      <c r="G28" s="1430"/>
      <c r="H28" s="1430"/>
      <c r="I28" s="114"/>
      <c r="M28" s="11">
        <v>38</v>
      </c>
    </row>
    <row r="29" spans="1:13" ht="21" customHeight="1">
      <c r="A29" s="62"/>
      <c r="C29" s="28"/>
      <c r="D29" s="64" t="s">
        <v>757</v>
      </c>
      <c r="E29" s="102" t="s">
        <v>1132</v>
      </c>
      <c r="F29" s="39"/>
      <c r="G29" s="151"/>
      <c r="H29" s="39" t="s">
        <v>310</v>
      </c>
      <c r="I29" s="1192" t="s">
        <v>1143</v>
      </c>
      <c r="M29" s="11">
        <v>20</v>
      </c>
    </row>
    <row r="30" spans="1:13" ht="15.75" customHeight="1">
      <c r="A30" s="62" t="s">
        <v>103</v>
      </c>
      <c r="C30" s="28"/>
      <c r="D30" s="40"/>
      <c r="E30" s="110" t="s">
        <v>326</v>
      </c>
      <c r="F30" s="111"/>
      <c r="G30" s="111"/>
      <c r="H30" s="108"/>
      <c r="I30" s="1194"/>
      <c r="M30" s="11">
        <v>15</v>
      </c>
    </row>
    <row r="31" spans="1:13" ht="31.5" customHeight="1">
      <c r="A31" s="62"/>
      <c r="B31" s="63">
        <v>3</v>
      </c>
      <c r="C31" s="28"/>
      <c r="D31" s="64">
        <v>5</v>
      </c>
      <c r="E31" s="143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1430"/>
      <c r="G31" s="1430"/>
      <c r="H31" s="1430"/>
      <c r="I31" s="114"/>
      <c r="M31" s="11">
        <v>30</v>
      </c>
    </row>
    <row r="32" spans="1:13" ht="27.4" customHeight="1">
      <c r="A32" s="62"/>
      <c r="C32" s="28"/>
      <c r="D32" s="64" t="s">
        <v>317</v>
      </c>
      <c r="E32" s="139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1393"/>
      <c r="G32" s="1393"/>
      <c r="H32" s="1393"/>
      <c r="I32" s="114"/>
      <c r="M32" s="11">
        <v>26</v>
      </c>
    </row>
    <row r="33" spans="1:13" ht="14.65" customHeight="1">
      <c r="A33" s="62"/>
      <c r="C33" s="28"/>
      <c r="D33" s="64" t="s">
        <v>1144</v>
      </c>
      <c r="E33" s="112" t="s">
        <v>1133</v>
      </c>
      <c r="F33" s="39"/>
      <c r="G33" s="151"/>
      <c r="H33" s="39" t="s">
        <v>310</v>
      </c>
      <c r="I33" s="1192" t="s">
        <v>1145</v>
      </c>
      <c r="M33" s="11">
        <v>14</v>
      </c>
    </row>
    <row r="34" spans="1:13" ht="15.75" customHeight="1">
      <c r="A34" s="62" t="s">
        <v>90</v>
      </c>
      <c r="C34" s="28"/>
      <c r="D34" s="40"/>
      <c r="E34" s="111" t="s">
        <v>326</v>
      </c>
      <c r="F34" s="107"/>
      <c r="G34" s="107"/>
      <c r="H34" s="108"/>
      <c r="I34" s="1194"/>
      <c r="M34" s="11">
        <v>15</v>
      </c>
    </row>
    <row r="35" spans="1:13" ht="25.15" customHeight="1">
      <c r="A35" s="62"/>
      <c r="C35" s="28"/>
      <c r="D35" s="64" t="s">
        <v>885</v>
      </c>
      <c r="E35" s="139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1393"/>
      <c r="G35" s="1393"/>
      <c r="H35" s="1393"/>
      <c r="I35" s="114"/>
      <c r="M35" s="11">
        <v>24</v>
      </c>
    </row>
    <row r="36" spans="1:13" ht="14.65" customHeight="1">
      <c r="A36" s="62"/>
      <c r="C36" s="28"/>
      <c r="D36" s="64" t="s">
        <v>1146</v>
      </c>
      <c r="E36" s="112" t="s">
        <v>1134</v>
      </c>
      <c r="F36" s="39"/>
      <c r="G36" s="151"/>
      <c r="H36" s="39" t="s">
        <v>310</v>
      </c>
      <c r="I36" s="1170" t="s">
        <v>1147</v>
      </c>
      <c r="M36" s="11">
        <v>14</v>
      </c>
    </row>
    <row r="37" spans="1:13" ht="15.75" customHeight="1">
      <c r="A37" s="62" t="s">
        <v>91</v>
      </c>
      <c r="C37" s="28"/>
      <c r="D37" s="40"/>
      <c r="E37" s="111" t="s">
        <v>326</v>
      </c>
      <c r="F37" s="107"/>
      <c r="G37" s="107"/>
      <c r="H37" s="108"/>
      <c r="I37" s="1170"/>
      <c r="M37" s="11">
        <v>15</v>
      </c>
    </row>
    <row r="38" spans="1:13" ht="27.4" customHeight="1">
      <c r="A38" s="62"/>
      <c r="C38" s="28"/>
      <c r="D38" s="64" t="s">
        <v>886</v>
      </c>
      <c r="E38" s="139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1393"/>
      <c r="G38" s="1393"/>
      <c r="H38" s="1393"/>
      <c r="I38" s="114"/>
      <c r="M38" s="11">
        <v>26</v>
      </c>
    </row>
    <row r="39" spans="1:13" ht="14.65" customHeight="1">
      <c r="A39" s="62"/>
      <c r="C39" s="28"/>
      <c r="D39" s="64" t="s">
        <v>887</v>
      </c>
      <c r="E39" s="112" t="s">
        <v>1135</v>
      </c>
      <c r="F39" s="39"/>
      <c r="G39" s="113"/>
      <c r="H39" s="39" t="s">
        <v>310</v>
      </c>
      <c r="I39" s="1192" t="s">
        <v>1148</v>
      </c>
      <c r="L39" s="69" t="s">
        <v>1136</v>
      </c>
      <c r="M39" s="11">
        <v>14</v>
      </c>
    </row>
    <row r="40" spans="1:13" ht="15.75" customHeight="1">
      <c r="A40" s="62" t="s">
        <v>116</v>
      </c>
      <c r="C40" s="28"/>
      <c r="D40" s="40"/>
      <c r="E40" s="111" t="s">
        <v>326</v>
      </c>
      <c r="F40" s="107"/>
      <c r="G40" s="107"/>
      <c r="H40" s="108"/>
      <c r="I40" s="1194"/>
      <c r="M40" s="11">
        <v>15</v>
      </c>
    </row>
    <row r="41" spans="1:13" s="34" customFormat="1" ht="3" customHeight="1">
      <c r="A41" s="62"/>
      <c r="K41" s="104"/>
      <c r="L41" s="104"/>
      <c r="M41" s="34">
        <v>3</v>
      </c>
    </row>
    <row r="42" spans="1:13" ht="26.25" customHeight="1">
      <c r="D42" s="198" t="s">
        <v>807</v>
      </c>
      <c r="E42" s="127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1274"/>
      <c r="G42" s="1274"/>
      <c r="H42" s="1274"/>
      <c r="I42" s="1274"/>
      <c r="M42" s="11">
        <v>25</v>
      </c>
    </row>
    <row r="43" spans="1:13" ht="22.5" hidden="1" customHeight="1">
      <c r="A43" s="506" t="s">
        <v>82</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FFB17-1424-E945-1A6C-1B614624B89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917"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57031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161</v>
      </c>
      <c r="B2" s="34" t="s">
        <v>162</v>
      </c>
      <c r="C2" s="4"/>
      <c r="D2" s="29"/>
      <c r="E2" s="607"/>
      <c r="F2" s="607"/>
      <c r="G2" s="1406" t="str">
        <f>INDEX(PT_DIFFERENTIATION_NTAR,MATCH(B2,PT_DIFFERENTIATION_NTAR_ID,0))</f>
        <v/>
      </c>
      <c r="H2" s="763"/>
      <c r="I2" s="948"/>
      <c r="J2" s="974"/>
      <c r="K2" s="1008"/>
      <c r="L2" s="763" t="s">
        <v>310</v>
      </c>
      <c r="M2" s="1014"/>
      <c r="N2" s="196"/>
      <c r="O2" s="69"/>
      <c r="P2" s="69"/>
      <c r="AH2" s="11">
        <v>0</v>
      </c>
    </row>
    <row r="3" spans="1:34" s="11" customFormat="1" ht="18.75" hidden="1" customHeight="1">
      <c r="A3" s="34"/>
      <c r="B3" s="34"/>
      <c r="C3" s="4" t="s">
        <v>1149</v>
      </c>
      <c r="D3" s="29"/>
      <c r="E3" s="607"/>
      <c r="F3" s="607"/>
      <c r="G3" s="1406"/>
      <c r="H3" s="823"/>
      <c r="I3" s="52" t="s">
        <v>1150</v>
      </c>
      <c r="J3" s="111"/>
      <c r="K3" s="823"/>
      <c r="L3" s="108"/>
      <c r="M3" s="1014"/>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161</v>
      </c>
      <c r="B5" s="34" t="s">
        <v>162</v>
      </c>
      <c r="C5" s="4"/>
      <c r="D5" s="29"/>
      <c r="E5" s="607"/>
      <c r="F5" s="607"/>
      <c r="G5" s="1406" t="str">
        <f>INDEX(PT_DIFFERENTIATION_NTAR,MATCH(B5,PT_DIFFERENTIATION_NTAR_ID,0))</f>
        <v/>
      </c>
      <c r="H5" s="763"/>
      <c r="I5" s="948"/>
      <c r="J5" s="974"/>
      <c r="K5" s="366"/>
      <c r="L5" s="763" t="s">
        <v>310</v>
      </c>
      <c r="M5" s="1014"/>
      <c r="N5" s="196"/>
      <c r="O5" s="69"/>
      <c r="P5" s="69"/>
      <c r="AH5" s="11">
        <v>0</v>
      </c>
    </row>
    <row r="6" spans="1:34" s="11" customFormat="1" ht="18.75" hidden="1" customHeight="1">
      <c r="A6" s="34"/>
      <c r="B6" s="34"/>
      <c r="C6" s="4" t="s">
        <v>1151</v>
      </c>
      <c r="D6" s="29"/>
      <c r="E6" s="607"/>
      <c r="F6" s="607"/>
      <c r="G6" s="1406"/>
      <c r="H6" s="823"/>
      <c r="I6" s="52" t="s">
        <v>1150</v>
      </c>
      <c r="J6" s="111"/>
      <c r="K6" s="823"/>
      <c r="L6" s="108"/>
      <c r="M6" s="1014"/>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8"/>
      <c r="L8" s="763" t="s">
        <v>310</v>
      </c>
      <c r="M8" s="1014"/>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310</v>
      </c>
      <c r="M10" s="1014"/>
      <c r="N10" s="196"/>
      <c r="O10" s="69"/>
      <c r="P10" s="69"/>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43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1432"/>
      <c r="G14" s="1432"/>
      <c r="H14" s="1432"/>
      <c r="I14" s="1432"/>
      <c r="J14" s="1432"/>
      <c r="K14" s="1432"/>
      <c r="L14" s="1432"/>
      <c r="M14" s="59"/>
      <c r="AH14" s="11">
        <v>14</v>
      </c>
    </row>
    <row r="15" spans="1:34" ht="6.4"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67" t="str">
        <f>IF(TITLE_DATE_PR_CHANGE="",IF(TITLE_DATE_PR="","",TITLE_DATE_PR),TITLE_DATE_PR_CHANGE)</f>
        <v/>
      </c>
      <c r="H16" s="1267"/>
      <c r="I16" s="1267"/>
      <c r="J16" s="1267"/>
      <c r="K16" s="1267"/>
      <c r="L16" s="1267"/>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68" t="str">
        <f>IF(TITLE_NUMBER_PR_CHANGE="",IF(TITLE_NUMBER_PR="","",TITLE_NUMBER_PR),TITLE_NUMBER_PR_CHANGE)</f>
        <v/>
      </c>
      <c r="H17" s="1268"/>
      <c r="I17" s="1268"/>
      <c r="J17" s="1268"/>
      <c r="K17" s="1268"/>
      <c r="L17" s="1268"/>
      <c r="M17" s="196"/>
      <c r="AH17" s="11">
        <v>23</v>
      </c>
    </row>
    <row r="18" spans="1:34" ht="14.65" customHeight="1">
      <c r="D18" s="28"/>
      <c r="E18" s="10"/>
      <c r="F18" s="14"/>
      <c r="G18" s="14"/>
      <c r="H18" s="14"/>
      <c r="I18" s="14"/>
      <c r="J18" s="14"/>
      <c r="K18" s="14"/>
      <c r="L18" s="435"/>
      <c r="M18" s="101"/>
      <c r="AH18" s="11">
        <v>14</v>
      </c>
    </row>
    <row r="19" spans="1:34" ht="21.95" customHeight="1">
      <c r="D19" s="28"/>
      <c r="E19" s="1237" t="s">
        <v>304</v>
      </c>
      <c r="F19" s="1237"/>
      <c r="G19" s="1237"/>
      <c r="H19" s="1237"/>
      <c r="I19" s="1237"/>
      <c r="J19" s="1237"/>
      <c r="K19" s="1237"/>
      <c r="L19" s="1237"/>
      <c r="M19" s="1379" t="s">
        <v>305</v>
      </c>
      <c r="AH19" s="11">
        <v>21</v>
      </c>
    </row>
    <row r="20" spans="1:34" ht="21.95" customHeight="1">
      <c r="D20" s="28"/>
      <c r="E20" s="1292" t="s">
        <v>88</v>
      </c>
      <c r="F20" s="1243" t="s">
        <v>128</v>
      </c>
      <c r="G20" s="1243" t="s">
        <v>129</v>
      </c>
      <c r="H20" s="1376" t="s">
        <v>1152</v>
      </c>
      <c r="I20" s="1377"/>
      <c r="J20" s="1408"/>
      <c r="K20" s="1243" t="s">
        <v>307</v>
      </c>
      <c r="L20" s="1243" t="s">
        <v>394</v>
      </c>
      <c r="M20" s="1379"/>
      <c r="AH20" s="11">
        <v>21</v>
      </c>
    </row>
    <row r="21" spans="1:34" ht="21.95" customHeight="1">
      <c r="D21" s="28"/>
      <c r="E21" s="1294"/>
      <c r="F21" s="1244"/>
      <c r="G21" s="1244"/>
      <c r="H21" s="1242" t="s">
        <v>1153</v>
      </c>
      <c r="I21" s="1255"/>
      <c r="J21" s="39" t="s">
        <v>1154</v>
      </c>
      <c r="K21" s="1244"/>
      <c r="L21" s="1244"/>
      <c r="M21" s="1379"/>
      <c r="AH21" s="11">
        <v>21</v>
      </c>
    </row>
    <row r="22" spans="1:34" ht="12.75" customHeight="1">
      <c r="D22" s="28"/>
      <c r="E22" s="22"/>
      <c r="F22" s="22"/>
      <c r="G22" s="22"/>
      <c r="H22" s="1434"/>
      <c r="I22" s="1434"/>
      <c r="J22" s="22"/>
      <c r="K22" s="22"/>
      <c r="L22" s="22"/>
      <c r="M22" s="22"/>
      <c r="AH22" s="11">
        <v>12</v>
      </c>
    </row>
    <row r="23" spans="1:34" ht="19.899999999999999" customHeight="1">
      <c r="A23" s="34"/>
      <c r="B23" s="34"/>
      <c r="D23" s="28"/>
      <c r="E23" s="1009" t="s">
        <v>115</v>
      </c>
      <c r="F23" s="1435" t="str">
        <f>"Предлагаемый метод регулирования"&amp;IF(TEMPLATE_SPHERE="HEAT"," в сфере "&amp;TEMPLATE_SPHERE_RUS,"")</f>
        <v>Предлагаемый метод регулирования в сфере теплоснабжения</v>
      </c>
      <c r="G23" s="1435"/>
      <c r="H23" s="1430"/>
      <c r="I23" s="1430"/>
      <c r="J23" s="1430"/>
      <c r="K23" s="1435" t="s">
        <v>310</v>
      </c>
      <c r="L23" s="1430"/>
      <c r="M23" s="153"/>
      <c r="N23" s="196"/>
      <c r="AH23" s="11">
        <v>19</v>
      </c>
    </row>
    <row r="24" spans="1:34" ht="60.75" hidden="1" customHeight="1">
      <c r="A24" s="34" t="s">
        <v>161</v>
      </c>
      <c r="B24" s="34" t="s">
        <v>162</v>
      </c>
      <c r="D24" s="1433"/>
      <c r="E24" s="1232"/>
      <c r="F24" s="143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06" t="str">
        <f>INDEX(PT_DIFFERENTIATION_NTAR,MATCH(B24,PT_DIFFERENTIATION_NTAR_ID,0))</f>
        <v/>
      </c>
      <c r="H24" s="763"/>
      <c r="I24" s="948"/>
      <c r="J24" s="974"/>
      <c r="K24" s="1008"/>
      <c r="L24" s="763" t="s">
        <v>310</v>
      </c>
      <c r="M24" s="11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1149</v>
      </c>
      <c r="D25" s="1433"/>
      <c r="E25" s="1232"/>
      <c r="F25" s="1436"/>
      <c r="G25" s="1406"/>
      <c r="H25" s="823"/>
      <c r="I25" s="52" t="s">
        <v>1150</v>
      </c>
      <c r="J25" s="111"/>
      <c r="K25" s="823"/>
      <c r="L25" s="108"/>
      <c r="M25" s="1193"/>
      <c r="N25" s="196"/>
      <c r="O25" s="69"/>
      <c r="P25" s="69"/>
      <c r="AH25" s="11">
        <v>0</v>
      </c>
    </row>
    <row r="26" spans="1:34" ht="0.75" hidden="1" customHeight="1">
      <c r="A26" s="34"/>
      <c r="B26" s="34"/>
      <c r="C26" s="4" t="s">
        <v>1155</v>
      </c>
      <c r="D26" s="1433"/>
      <c r="E26" s="1232"/>
      <c r="F26" s="1369"/>
      <c r="G26" s="227"/>
      <c r="H26" s="823"/>
      <c r="I26" s="52"/>
      <c r="J26" s="111"/>
      <c r="K26" s="823"/>
      <c r="L26" s="108"/>
      <c r="M26" s="1193"/>
      <c r="N26" s="196"/>
      <c r="AH26" s="11">
        <v>0</v>
      </c>
    </row>
    <row r="27" spans="1:34" s="11" customFormat="1" ht="45" hidden="1" customHeight="1">
      <c r="A27" s="34" t="s">
        <v>166</v>
      </c>
      <c r="B27" s="34" t="s">
        <v>167</v>
      </c>
      <c r="C27" s="4"/>
      <c r="D27" s="1431"/>
      <c r="E27" s="1437"/>
      <c r="F27" s="1438" t="str">
        <f>INDEX(PT_DIFFERENTIATION_VTAR,MATCH(A27,PT_DIFFERENTIATION_VTAR_ID,0))</f>
        <v/>
      </c>
      <c r="G27" s="1406" t="str">
        <f>INDEX(PT_DIFFERENTIATION_NTAR,MATCH(B27,PT_DIFFERENTIATION_NTAR_ID,0))</f>
        <v/>
      </c>
      <c r="H27" s="763"/>
      <c r="I27" s="948"/>
      <c r="J27" s="974"/>
      <c r="K27" s="1008"/>
      <c r="L27" s="763" t="s">
        <v>310</v>
      </c>
      <c r="M27" s="1193"/>
      <c r="N27" s="196"/>
      <c r="O27" s="69"/>
      <c r="P27" s="69"/>
      <c r="AH27" s="11">
        <v>0</v>
      </c>
    </row>
    <row r="28" spans="1:34" s="11" customFormat="1" ht="18.75" hidden="1" customHeight="1">
      <c r="A28" s="34"/>
      <c r="B28" s="34"/>
      <c r="C28" s="4" t="s">
        <v>1149</v>
      </c>
      <c r="D28" s="1431"/>
      <c r="E28" s="1437"/>
      <c r="F28" s="1438"/>
      <c r="G28" s="1406"/>
      <c r="H28" s="823"/>
      <c r="I28" s="52" t="s">
        <v>1150</v>
      </c>
      <c r="J28" s="111"/>
      <c r="K28" s="823"/>
      <c r="L28" s="108"/>
      <c r="M28" s="1193"/>
      <c r="N28" s="196"/>
      <c r="O28" s="69"/>
      <c r="P28" s="69"/>
      <c r="AH28" s="11">
        <v>0</v>
      </c>
    </row>
    <row r="29" spans="1:34" s="11" customFormat="1" ht="0.75" hidden="1" customHeight="1">
      <c r="A29" s="34"/>
      <c r="B29" s="34"/>
      <c r="C29" s="4" t="s">
        <v>1155</v>
      </c>
      <c r="D29" s="1431"/>
      <c r="E29" s="1232"/>
      <c r="F29" s="1369"/>
      <c r="G29" s="227"/>
      <c r="H29" s="823"/>
      <c r="I29" s="52"/>
      <c r="J29" s="111"/>
      <c r="K29" s="823"/>
      <c r="L29" s="108"/>
      <c r="M29" s="1193"/>
      <c r="N29" s="196"/>
      <c r="O29" s="69"/>
      <c r="P29" s="69"/>
      <c r="AH29" s="11">
        <v>0</v>
      </c>
    </row>
    <row r="30" spans="1:34" s="11" customFormat="1" ht="45" hidden="1" customHeight="1">
      <c r="A30" s="34" t="s">
        <v>173</v>
      </c>
      <c r="B30" s="34" t="s">
        <v>174</v>
      </c>
      <c r="C30" s="4"/>
      <c r="D30" s="1431"/>
      <c r="E30" s="1232"/>
      <c r="F30" s="136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06" t="str">
        <f>INDEX(PT_DIFFERENTIATION_NTAR,MATCH(B30,PT_DIFFERENTIATION_NTAR_ID,0))</f>
        <v/>
      </c>
      <c r="H30" s="763"/>
      <c r="I30" s="948"/>
      <c r="J30" s="974"/>
      <c r="K30" s="1008"/>
      <c r="L30" s="763" t="s">
        <v>310</v>
      </c>
      <c r="M30" s="1193"/>
      <c r="N30" s="196"/>
      <c r="O30" s="69"/>
      <c r="P30" s="69"/>
      <c r="AH30" s="11">
        <v>0</v>
      </c>
    </row>
    <row r="31" spans="1:34" s="11" customFormat="1" ht="18.75" hidden="1" customHeight="1">
      <c r="A31" s="34"/>
      <c r="B31" s="34"/>
      <c r="C31" s="4" t="s">
        <v>1149</v>
      </c>
      <c r="D31" s="1431"/>
      <c r="E31" s="1232"/>
      <c r="F31" s="1369"/>
      <c r="G31" s="1406"/>
      <c r="H31" s="823"/>
      <c r="I31" s="52" t="s">
        <v>1150</v>
      </c>
      <c r="J31" s="111"/>
      <c r="K31" s="823"/>
      <c r="L31" s="108"/>
      <c r="M31" s="1193"/>
      <c r="N31" s="196"/>
      <c r="O31" s="69"/>
      <c r="P31" s="69"/>
      <c r="AH31" s="11">
        <v>0</v>
      </c>
    </row>
    <row r="32" spans="1:34" s="11" customFormat="1" ht="0.75" hidden="1" customHeight="1">
      <c r="A32" s="34"/>
      <c r="B32" s="34"/>
      <c r="C32" s="4" t="s">
        <v>1155</v>
      </c>
      <c r="D32" s="1431"/>
      <c r="E32" s="1232"/>
      <c r="F32" s="1369"/>
      <c r="G32" s="227"/>
      <c r="H32" s="823"/>
      <c r="I32" s="52"/>
      <c r="J32" s="111"/>
      <c r="K32" s="823"/>
      <c r="L32" s="108"/>
      <c r="M32" s="1193"/>
      <c r="N32" s="196"/>
      <c r="O32" s="69"/>
      <c r="P32" s="69"/>
      <c r="AH32" s="11">
        <v>0</v>
      </c>
    </row>
    <row r="33" spans="1:34" s="11" customFormat="1" ht="45" hidden="1" customHeight="1">
      <c r="A33" s="34" t="s">
        <v>179</v>
      </c>
      <c r="B33" s="34" t="s">
        <v>180</v>
      </c>
      <c r="C33" s="4"/>
      <c r="D33" s="1431"/>
      <c r="E33" s="1232"/>
      <c r="F33" s="136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06" t="str">
        <f>INDEX(PT_DIFFERENTIATION_NTAR,MATCH(B33,PT_DIFFERENTIATION_NTAR_ID,0))</f>
        <v/>
      </c>
      <c r="H33" s="763"/>
      <c r="I33" s="948"/>
      <c r="J33" s="974"/>
      <c r="K33" s="1008"/>
      <c r="L33" s="763" t="s">
        <v>310</v>
      </c>
      <c r="M33" s="1193"/>
      <c r="N33" s="196"/>
      <c r="O33" s="69"/>
      <c r="P33" s="69"/>
      <c r="AH33" s="11">
        <v>0</v>
      </c>
    </row>
    <row r="34" spans="1:34" s="11" customFormat="1" ht="18.75" hidden="1" customHeight="1">
      <c r="A34" s="34"/>
      <c r="B34" s="34"/>
      <c r="C34" s="4" t="s">
        <v>1149</v>
      </c>
      <c r="D34" s="1431"/>
      <c r="E34" s="1232"/>
      <c r="F34" s="1369"/>
      <c r="G34" s="1406"/>
      <c r="H34" s="823"/>
      <c r="I34" s="52" t="s">
        <v>1150</v>
      </c>
      <c r="J34" s="111"/>
      <c r="K34" s="823"/>
      <c r="L34" s="108"/>
      <c r="M34" s="1193"/>
      <c r="N34" s="196"/>
      <c r="O34" s="69"/>
      <c r="P34" s="69"/>
      <c r="AH34" s="11">
        <v>0</v>
      </c>
    </row>
    <row r="35" spans="1:34" s="11" customFormat="1" ht="0.75" hidden="1" customHeight="1">
      <c r="A35" s="34"/>
      <c r="B35" s="34"/>
      <c r="C35" s="4" t="s">
        <v>1155</v>
      </c>
      <c r="D35" s="1431"/>
      <c r="E35" s="1232"/>
      <c r="F35" s="1369"/>
      <c r="G35" s="227"/>
      <c r="H35" s="823"/>
      <c r="I35" s="52"/>
      <c r="J35" s="111"/>
      <c r="K35" s="823"/>
      <c r="L35" s="108"/>
      <c r="M35" s="1193"/>
      <c r="N35" s="196"/>
      <c r="O35" s="69"/>
      <c r="P35" s="69"/>
      <c r="AH35" s="11">
        <v>0</v>
      </c>
    </row>
    <row r="36" spans="1:34" s="11" customFormat="1" ht="18.75" hidden="1" customHeight="1">
      <c r="A36" s="34" t="s">
        <v>185</v>
      </c>
      <c r="B36" s="34" t="s">
        <v>186</v>
      </c>
      <c r="C36" s="4"/>
      <c r="D36" s="1431"/>
      <c r="E36" s="1232"/>
      <c r="F36" s="1369" t="str">
        <f>INDEX(PT_DIFFERENTIATION_VTAR,MATCH(A36,PT_DIFFERENTIATION_VTAR_ID,0))</f>
        <v>Тарифы на услуги по передаче тепловой энергии</v>
      </c>
      <c r="G36" s="1406" t="str">
        <f>INDEX(PT_DIFFERENTIATION_NTAR,MATCH(B36,PT_DIFFERENTIATION_NTAR_ID,0))</f>
        <v/>
      </c>
      <c r="H36" s="763"/>
      <c r="I36" s="948"/>
      <c r="J36" s="974"/>
      <c r="K36" s="1008"/>
      <c r="L36" s="763" t="s">
        <v>310</v>
      </c>
      <c r="M36" s="1193"/>
      <c r="N36" s="196"/>
      <c r="O36" s="69"/>
      <c r="P36" s="69"/>
      <c r="AH36" s="11">
        <v>0</v>
      </c>
    </row>
    <row r="37" spans="1:34" s="11" customFormat="1" ht="18.75" hidden="1" customHeight="1">
      <c r="A37" s="34"/>
      <c r="B37" s="34"/>
      <c r="C37" s="4" t="s">
        <v>1149</v>
      </c>
      <c r="D37" s="1431"/>
      <c r="E37" s="1232"/>
      <c r="F37" s="1369"/>
      <c r="G37" s="1406"/>
      <c r="H37" s="823"/>
      <c r="I37" s="52" t="s">
        <v>1150</v>
      </c>
      <c r="J37" s="111"/>
      <c r="K37" s="823"/>
      <c r="L37" s="108"/>
      <c r="M37" s="1193"/>
      <c r="N37" s="196"/>
      <c r="O37" s="69"/>
      <c r="P37" s="69"/>
      <c r="AH37" s="11">
        <v>0</v>
      </c>
    </row>
    <row r="38" spans="1:34" s="11" customFormat="1" ht="0.75" hidden="1" customHeight="1">
      <c r="A38" s="34"/>
      <c r="B38" s="34"/>
      <c r="C38" s="4" t="s">
        <v>1155</v>
      </c>
      <c r="D38" s="1431"/>
      <c r="E38" s="1232"/>
      <c r="F38" s="1369"/>
      <c r="G38" s="227"/>
      <c r="H38" s="823"/>
      <c r="I38" s="52"/>
      <c r="J38" s="111"/>
      <c r="K38" s="823"/>
      <c r="L38" s="108"/>
      <c r="M38" s="1193"/>
      <c r="N38" s="196"/>
      <c r="O38" s="69"/>
      <c r="P38" s="69"/>
      <c r="AH38" s="11">
        <v>0</v>
      </c>
    </row>
    <row r="39" spans="1:34" s="11" customFormat="1" ht="18.75" hidden="1" customHeight="1">
      <c r="A39" s="34" t="s">
        <v>191</v>
      </c>
      <c r="B39" s="34" t="s">
        <v>192</v>
      </c>
      <c r="C39" s="4"/>
      <c r="D39" s="1431"/>
      <c r="E39" s="1232"/>
      <c r="F39" s="1369" t="str">
        <f>INDEX(PT_DIFFERENTIATION_VTAR,MATCH(A39,PT_DIFFERENTIATION_VTAR_ID,0))</f>
        <v>Тарифы на услуги по передаче теплоносителя</v>
      </c>
      <c r="G39" s="1406" t="str">
        <f>INDEX(PT_DIFFERENTIATION_NTAR,MATCH(B39,PT_DIFFERENTIATION_NTAR_ID,0))</f>
        <v/>
      </c>
      <c r="H39" s="763"/>
      <c r="I39" s="948"/>
      <c r="J39" s="974"/>
      <c r="K39" s="1008"/>
      <c r="L39" s="763" t="s">
        <v>310</v>
      </c>
      <c r="M39" s="1193"/>
      <c r="N39" s="196"/>
      <c r="O39" s="69"/>
      <c r="P39" s="69"/>
      <c r="AH39" s="11">
        <v>0</v>
      </c>
    </row>
    <row r="40" spans="1:34" s="11" customFormat="1" ht="18.75" hidden="1" customHeight="1">
      <c r="A40" s="34"/>
      <c r="B40" s="34"/>
      <c r="C40" s="4" t="s">
        <v>1149</v>
      </c>
      <c r="D40" s="1431"/>
      <c r="E40" s="1232"/>
      <c r="F40" s="1369"/>
      <c r="G40" s="1406"/>
      <c r="H40" s="823"/>
      <c r="I40" s="52" t="s">
        <v>1150</v>
      </c>
      <c r="J40" s="111"/>
      <c r="K40" s="823"/>
      <c r="L40" s="108"/>
      <c r="M40" s="1193"/>
      <c r="N40" s="196"/>
      <c r="O40" s="69"/>
      <c r="P40" s="69"/>
      <c r="AH40" s="11">
        <v>0</v>
      </c>
    </row>
    <row r="41" spans="1:34" s="11" customFormat="1" ht="0.75" hidden="1" customHeight="1">
      <c r="A41" s="34"/>
      <c r="B41" s="34"/>
      <c r="C41" s="4" t="s">
        <v>1155</v>
      </c>
      <c r="D41" s="1431"/>
      <c r="E41" s="1232"/>
      <c r="F41" s="1369"/>
      <c r="G41" s="227"/>
      <c r="H41" s="823"/>
      <c r="I41" s="52"/>
      <c r="J41" s="111"/>
      <c r="K41" s="823"/>
      <c r="L41" s="108"/>
      <c r="M41" s="1193"/>
      <c r="N41" s="196"/>
      <c r="O41" s="69"/>
      <c r="P41" s="69"/>
      <c r="AH41" s="11">
        <v>0</v>
      </c>
    </row>
    <row r="42" spans="1:34" s="11" customFormat="1" ht="18.75" hidden="1" customHeight="1">
      <c r="A42" s="34" t="s">
        <v>197</v>
      </c>
      <c r="B42" s="34" t="s">
        <v>198</v>
      </c>
      <c r="C42" s="4"/>
      <c r="D42" s="1431"/>
      <c r="E42" s="1232"/>
      <c r="F42" s="1369" t="str">
        <f>INDEX(PT_DIFFERENTIATION_VTAR,MATCH(A42,PT_DIFFERENTIATION_VTAR_ID,0))</f>
        <v>Плата за услуги по поддержанию резервной тепловой мощности при отсутствии потребления тепловой энергии</v>
      </c>
      <c r="G42" s="1406" t="str">
        <f>INDEX(PT_DIFFERENTIATION_NTAR,MATCH(B42,PT_DIFFERENTIATION_NTAR_ID,0))</f>
        <v/>
      </c>
      <c r="H42" s="763"/>
      <c r="I42" s="948"/>
      <c r="J42" s="974"/>
      <c r="K42" s="1008"/>
      <c r="L42" s="763" t="s">
        <v>310</v>
      </c>
      <c r="M42" s="1193"/>
      <c r="N42" s="196"/>
      <c r="O42" s="69"/>
      <c r="P42" s="69"/>
      <c r="AH42" s="11">
        <v>0</v>
      </c>
    </row>
    <row r="43" spans="1:34" s="11" customFormat="1" ht="18.75" hidden="1" customHeight="1">
      <c r="A43" s="34"/>
      <c r="B43" s="34"/>
      <c r="C43" s="4" t="s">
        <v>1149</v>
      </c>
      <c r="D43" s="1431"/>
      <c r="E43" s="1232"/>
      <c r="F43" s="1369"/>
      <c r="G43" s="1406"/>
      <c r="H43" s="823"/>
      <c r="I43" s="52" t="s">
        <v>1150</v>
      </c>
      <c r="J43" s="111"/>
      <c r="K43" s="823"/>
      <c r="L43" s="108"/>
      <c r="M43" s="1193"/>
      <c r="N43" s="196"/>
      <c r="O43" s="69"/>
      <c r="P43" s="69"/>
      <c r="AH43" s="11">
        <v>0</v>
      </c>
    </row>
    <row r="44" spans="1:34" s="11" customFormat="1" ht="0.75" hidden="1" customHeight="1">
      <c r="A44" s="34"/>
      <c r="B44" s="34"/>
      <c r="C44" s="4" t="s">
        <v>1155</v>
      </c>
      <c r="D44" s="1431"/>
      <c r="E44" s="1232"/>
      <c r="F44" s="1369"/>
      <c r="G44" s="227"/>
      <c r="H44" s="823"/>
      <c r="I44" s="52"/>
      <c r="J44" s="111"/>
      <c r="K44" s="823"/>
      <c r="L44" s="108"/>
      <c r="M44" s="1193"/>
      <c r="N44" s="196"/>
      <c r="O44" s="69"/>
      <c r="P44" s="69"/>
      <c r="AH44" s="11">
        <v>0</v>
      </c>
    </row>
    <row r="45" spans="1:34" s="11" customFormat="1" ht="18.75" hidden="1" customHeight="1">
      <c r="A45" s="34" t="s">
        <v>203</v>
      </c>
      <c r="B45" s="34" t="s">
        <v>204</v>
      </c>
      <c r="C45" s="4"/>
      <c r="D45" s="1431"/>
      <c r="E45" s="1232"/>
      <c r="F45" s="1369" t="str">
        <f>INDEX(PT_DIFFERENTIATION_VTAR,MATCH(A45,PT_DIFFERENTIATION_VTAR_ID,0))</f>
        <v>Плата за подключение (технологическое присоединение) к системе теплоснабжения</v>
      </c>
      <c r="G45" s="1406" t="str">
        <f>INDEX(PT_DIFFERENTIATION_NTAR,MATCH(B45,PT_DIFFERENTIATION_NTAR_ID,0))</f>
        <v/>
      </c>
      <c r="H45" s="763"/>
      <c r="I45" s="948"/>
      <c r="J45" s="974"/>
      <c r="K45" s="1008"/>
      <c r="L45" s="763" t="s">
        <v>310</v>
      </c>
      <c r="M45" s="1193"/>
      <c r="N45" s="196"/>
      <c r="O45" s="69"/>
      <c r="P45" s="69"/>
      <c r="AH45" s="11">
        <v>0</v>
      </c>
    </row>
    <row r="46" spans="1:34" s="11" customFormat="1" ht="18.75" hidden="1" customHeight="1">
      <c r="A46" s="34"/>
      <c r="B46" s="34"/>
      <c r="C46" s="4" t="s">
        <v>1149</v>
      </c>
      <c r="D46" s="1431"/>
      <c r="E46" s="1232"/>
      <c r="F46" s="1369"/>
      <c r="G46" s="1406"/>
      <c r="H46" s="823"/>
      <c r="I46" s="52" t="s">
        <v>1150</v>
      </c>
      <c r="J46" s="111"/>
      <c r="K46" s="823"/>
      <c r="L46" s="108"/>
      <c r="M46" s="1193"/>
      <c r="N46" s="196"/>
      <c r="O46" s="69"/>
      <c r="P46" s="69"/>
      <c r="AH46" s="11">
        <v>0</v>
      </c>
    </row>
    <row r="47" spans="1:34" s="11" customFormat="1" ht="0.75" hidden="1" customHeight="1">
      <c r="A47" s="34"/>
      <c r="B47" s="34"/>
      <c r="C47" s="4" t="s">
        <v>1155</v>
      </c>
      <c r="D47" s="1431"/>
      <c r="E47" s="1232"/>
      <c r="F47" s="1369"/>
      <c r="G47" s="227"/>
      <c r="H47" s="823"/>
      <c r="I47" s="52"/>
      <c r="J47" s="111"/>
      <c r="K47" s="823"/>
      <c r="L47" s="108"/>
      <c r="M47" s="1193"/>
      <c r="N47" s="196"/>
      <c r="O47" s="69"/>
      <c r="P47" s="69"/>
      <c r="AH47" s="11">
        <v>0</v>
      </c>
    </row>
    <row r="48" spans="1:34" s="11" customFormat="1" ht="18.75" hidden="1" customHeight="1">
      <c r="A48" s="34" t="s">
        <v>209</v>
      </c>
      <c r="B48" s="34" t="s">
        <v>210</v>
      </c>
      <c r="C48" s="4"/>
      <c r="D48" s="1431"/>
      <c r="E48" s="1232"/>
      <c r="F48" s="1369" t="str">
        <f>INDEX(PT_DIFFERENTIATION_VTAR,MATCH(A48,PT_DIFFERENTIATION_VTAR_ID,0))</f>
        <v>Плата за подключение (технологическое присоединение) к системе теплоснабжения (индивидуальная)</v>
      </c>
      <c r="G48" s="1406" t="str">
        <f>INDEX(PT_DIFFERENTIATION_NTAR,MATCH(B48,PT_DIFFERENTIATION_NTAR_ID,0))</f>
        <v/>
      </c>
      <c r="H48" s="763"/>
      <c r="I48" s="948"/>
      <c r="J48" s="974"/>
      <c r="K48" s="1008"/>
      <c r="L48" s="763" t="s">
        <v>310</v>
      </c>
      <c r="M48" s="1193"/>
      <c r="N48" s="196"/>
      <c r="O48" s="69"/>
      <c r="P48" s="69"/>
      <c r="AH48" s="11">
        <v>0</v>
      </c>
    </row>
    <row r="49" spans="1:34" s="11" customFormat="1" ht="18.75" hidden="1" customHeight="1">
      <c r="A49" s="34"/>
      <c r="B49" s="34"/>
      <c r="C49" s="4" t="s">
        <v>1149</v>
      </c>
      <c r="D49" s="1431"/>
      <c r="E49" s="1232"/>
      <c r="F49" s="1369"/>
      <c r="G49" s="1406"/>
      <c r="H49" s="823"/>
      <c r="I49" s="52" t="s">
        <v>1150</v>
      </c>
      <c r="J49" s="111"/>
      <c r="K49" s="823"/>
      <c r="L49" s="108"/>
      <c r="M49" s="1193"/>
      <c r="N49" s="196"/>
      <c r="O49" s="69"/>
      <c r="P49" s="69"/>
      <c r="AH49" s="11">
        <v>0</v>
      </c>
    </row>
    <row r="50" spans="1:34" s="11" customFormat="1" ht="0.75" hidden="1" customHeight="1">
      <c r="A50" s="34"/>
      <c r="B50" s="34"/>
      <c r="C50" s="4" t="s">
        <v>1155</v>
      </c>
      <c r="D50" s="1431"/>
      <c r="E50" s="1232"/>
      <c r="F50" s="1369"/>
      <c r="G50" s="227"/>
      <c r="H50" s="823"/>
      <c r="I50" s="52"/>
      <c r="J50" s="111"/>
      <c r="K50" s="823"/>
      <c r="L50" s="108"/>
      <c r="M50" s="1193"/>
      <c r="N50" s="196"/>
      <c r="O50" s="69"/>
      <c r="P50" s="69"/>
      <c r="AH50" s="11">
        <v>0</v>
      </c>
    </row>
    <row r="51" spans="1:34" s="11" customFormat="1" ht="18.75" hidden="1" customHeight="1">
      <c r="A51" s="34" t="s">
        <v>229</v>
      </c>
      <c r="B51" s="34" t="s">
        <v>230</v>
      </c>
      <c r="C51" s="4"/>
      <c r="D51" s="1431"/>
      <c r="E51" s="1232"/>
      <c r="F51" s="1369" t="str">
        <f>INDEX(PT_DIFFERENTIATION_VTAR,MATCH(A51,PT_DIFFERENTIATION_VTAR_ID,0))</f>
        <v>Тариф на питьевую воду (питьевое водоснабжение)</v>
      </c>
      <c r="G51" s="1406" t="str">
        <f>INDEX(PT_DIFFERENTIATION_NTAR,MATCH(B51,PT_DIFFERENTIATION_NTAR_ID,0))</f>
        <v/>
      </c>
      <c r="H51" s="763"/>
      <c r="I51" s="948"/>
      <c r="J51" s="974"/>
      <c r="K51" s="1008"/>
      <c r="L51" s="763" t="s">
        <v>310</v>
      </c>
      <c r="M51" s="1193"/>
      <c r="N51" s="196"/>
      <c r="O51" s="69"/>
      <c r="P51" s="69"/>
      <c r="AH51" s="11">
        <v>0</v>
      </c>
    </row>
    <row r="52" spans="1:34" s="11" customFormat="1" ht="18.75" hidden="1" customHeight="1">
      <c r="A52" s="34"/>
      <c r="B52" s="34"/>
      <c r="C52" s="4" t="s">
        <v>1149</v>
      </c>
      <c r="D52" s="1431"/>
      <c r="E52" s="1232"/>
      <c r="F52" s="1369"/>
      <c r="G52" s="1406"/>
      <c r="H52" s="823"/>
      <c r="I52" s="52" t="s">
        <v>1150</v>
      </c>
      <c r="J52" s="111"/>
      <c r="K52" s="823"/>
      <c r="L52" s="108"/>
      <c r="M52" s="1193"/>
      <c r="N52" s="196"/>
      <c r="O52" s="69"/>
      <c r="P52" s="69"/>
      <c r="AH52" s="11">
        <v>0</v>
      </c>
    </row>
    <row r="53" spans="1:34" s="11" customFormat="1" ht="0.75" hidden="1" customHeight="1">
      <c r="A53" s="34"/>
      <c r="B53" s="34"/>
      <c r="C53" s="4" t="s">
        <v>1155</v>
      </c>
      <c r="D53" s="1431"/>
      <c r="E53" s="1232"/>
      <c r="F53" s="1369"/>
      <c r="G53" s="227"/>
      <c r="H53" s="823"/>
      <c r="I53" s="52"/>
      <c r="J53" s="111"/>
      <c r="K53" s="823"/>
      <c r="L53" s="108"/>
      <c r="M53" s="1193"/>
      <c r="N53" s="196"/>
      <c r="O53" s="69"/>
      <c r="P53" s="69"/>
      <c r="AH53" s="11">
        <v>0</v>
      </c>
    </row>
    <row r="54" spans="1:34" s="11" customFormat="1" ht="18.75" hidden="1" customHeight="1">
      <c r="A54" s="34" t="s">
        <v>234</v>
      </c>
      <c r="B54" s="34" t="s">
        <v>235</v>
      </c>
      <c r="C54" s="4"/>
      <c r="D54" s="1431"/>
      <c r="E54" s="1232"/>
      <c r="F54" s="1369" t="str">
        <f>INDEX(PT_DIFFERENTIATION_VTAR,MATCH(A54,PT_DIFFERENTIATION_VTAR_ID,0))</f>
        <v>Тариф на техническую воду</v>
      </c>
      <c r="G54" s="1406" t="str">
        <f>INDEX(PT_DIFFERENTIATION_NTAR,MATCH(B54,PT_DIFFERENTIATION_NTAR_ID,0))</f>
        <v/>
      </c>
      <c r="H54" s="763"/>
      <c r="I54" s="948"/>
      <c r="J54" s="974"/>
      <c r="K54" s="1008"/>
      <c r="L54" s="763" t="s">
        <v>310</v>
      </c>
      <c r="M54" s="1193"/>
      <c r="N54" s="196"/>
      <c r="O54" s="69"/>
      <c r="P54" s="69"/>
      <c r="AH54" s="11">
        <v>0</v>
      </c>
    </row>
    <row r="55" spans="1:34" s="11" customFormat="1" ht="18.75" hidden="1" customHeight="1">
      <c r="A55" s="34"/>
      <c r="B55" s="34"/>
      <c r="C55" s="4" t="s">
        <v>1149</v>
      </c>
      <c r="D55" s="1431"/>
      <c r="E55" s="1232"/>
      <c r="F55" s="1369"/>
      <c r="G55" s="1406"/>
      <c r="H55" s="823"/>
      <c r="I55" s="52" t="s">
        <v>1150</v>
      </c>
      <c r="J55" s="111"/>
      <c r="K55" s="823"/>
      <c r="L55" s="108"/>
      <c r="M55" s="1193"/>
      <c r="N55" s="196"/>
      <c r="O55" s="69"/>
      <c r="P55" s="69"/>
      <c r="AH55" s="11">
        <v>0</v>
      </c>
    </row>
    <row r="56" spans="1:34" s="11" customFormat="1" ht="0.75" hidden="1" customHeight="1">
      <c r="A56" s="34"/>
      <c r="B56" s="34"/>
      <c r="C56" s="4" t="s">
        <v>1155</v>
      </c>
      <c r="D56" s="1431"/>
      <c r="E56" s="1232"/>
      <c r="F56" s="1369"/>
      <c r="G56" s="227"/>
      <c r="H56" s="823"/>
      <c r="I56" s="52"/>
      <c r="J56" s="111"/>
      <c r="K56" s="823"/>
      <c r="L56" s="108"/>
      <c r="M56" s="1193"/>
      <c r="N56" s="196"/>
      <c r="O56" s="69"/>
      <c r="P56" s="69"/>
      <c r="AH56" s="11">
        <v>0</v>
      </c>
    </row>
    <row r="57" spans="1:34" s="11" customFormat="1" ht="18.75" hidden="1" customHeight="1">
      <c r="A57" s="34" t="s">
        <v>239</v>
      </c>
      <c r="B57" s="34" t="s">
        <v>240</v>
      </c>
      <c r="C57" s="4"/>
      <c r="D57" s="1431"/>
      <c r="E57" s="1232"/>
      <c r="F57" s="1369" t="str">
        <f>INDEX(PT_DIFFERENTIATION_VTAR,MATCH(A57,PT_DIFFERENTIATION_VTAR_ID,0))</f>
        <v>Тариф на транспортировку воды</v>
      </c>
      <c r="G57" s="1406" t="str">
        <f>INDEX(PT_DIFFERENTIATION_NTAR,MATCH(B57,PT_DIFFERENTIATION_NTAR_ID,0))</f>
        <v/>
      </c>
      <c r="H57" s="763"/>
      <c r="I57" s="948"/>
      <c r="J57" s="974"/>
      <c r="K57" s="1008"/>
      <c r="L57" s="763" t="s">
        <v>310</v>
      </c>
      <c r="M57" s="1193"/>
      <c r="N57" s="196"/>
      <c r="O57" s="69"/>
      <c r="P57" s="69"/>
      <c r="AH57" s="11">
        <v>0</v>
      </c>
    </row>
    <row r="58" spans="1:34" s="11" customFormat="1" ht="18.75" hidden="1" customHeight="1">
      <c r="A58" s="34"/>
      <c r="B58" s="34"/>
      <c r="C58" s="4" t="s">
        <v>1149</v>
      </c>
      <c r="D58" s="1431"/>
      <c r="E58" s="1232"/>
      <c r="F58" s="1369"/>
      <c r="G58" s="1406"/>
      <c r="H58" s="823"/>
      <c r="I58" s="52" t="s">
        <v>1150</v>
      </c>
      <c r="J58" s="111"/>
      <c r="K58" s="823"/>
      <c r="L58" s="108"/>
      <c r="M58" s="1193"/>
      <c r="N58" s="196"/>
      <c r="O58" s="69"/>
      <c r="P58" s="69"/>
      <c r="AH58" s="11">
        <v>0</v>
      </c>
    </row>
    <row r="59" spans="1:34" s="11" customFormat="1" ht="0.75" hidden="1" customHeight="1">
      <c r="A59" s="34"/>
      <c r="B59" s="34"/>
      <c r="C59" s="4" t="s">
        <v>1155</v>
      </c>
      <c r="D59" s="1431"/>
      <c r="E59" s="1232"/>
      <c r="F59" s="1369"/>
      <c r="G59" s="227"/>
      <c r="H59" s="823"/>
      <c r="I59" s="52"/>
      <c r="J59" s="111"/>
      <c r="K59" s="823"/>
      <c r="L59" s="108"/>
      <c r="M59" s="1193"/>
      <c r="N59" s="196"/>
      <c r="O59" s="69"/>
      <c r="P59" s="69"/>
      <c r="AH59" s="11">
        <v>0</v>
      </c>
    </row>
    <row r="60" spans="1:34" s="11" customFormat="1" ht="18.75" hidden="1" customHeight="1">
      <c r="A60" s="34" t="s">
        <v>244</v>
      </c>
      <c r="B60" s="34" t="s">
        <v>245</v>
      </c>
      <c r="C60" s="4"/>
      <c r="D60" s="1431"/>
      <c r="E60" s="1232"/>
      <c r="F60" s="1369" t="str">
        <f>INDEX(PT_DIFFERENTIATION_VTAR,MATCH(A60,PT_DIFFERENTIATION_VTAR_ID,0))</f>
        <v>Тариф на подвоз воды</v>
      </c>
      <c r="G60" s="1406" t="str">
        <f>INDEX(PT_DIFFERENTIATION_NTAR,MATCH(B60,PT_DIFFERENTIATION_NTAR_ID,0))</f>
        <v/>
      </c>
      <c r="H60" s="763"/>
      <c r="I60" s="948"/>
      <c r="J60" s="974"/>
      <c r="K60" s="1008"/>
      <c r="L60" s="763" t="s">
        <v>310</v>
      </c>
      <c r="M60" s="1193"/>
      <c r="N60" s="196"/>
      <c r="O60" s="69"/>
      <c r="P60" s="69"/>
      <c r="AH60" s="11">
        <v>0</v>
      </c>
    </row>
    <row r="61" spans="1:34" s="11" customFormat="1" ht="18.75" hidden="1" customHeight="1">
      <c r="A61" s="34"/>
      <c r="B61" s="34"/>
      <c r="C61" s="4" t="s">
        <v>1149</v>
      </c>
      <c r="D61" s="1431"/>
      <c r="E61" s="1232"/>
      <c r="F61" s="1369"/>
      <c r="G61" s="1406"/>
      <c r="H61" s="823"/>
      <c r="I61" s="52" t="s">
        <v>1150</v>
      </c>
      <c r="J61" s="111"/>
      <c r="K61" s="823"/>
      <c r="L61" s="108"/>
      <c r="M61" s="1193"/>
      <c r="N61" s="196"/>
      <c r="O61" s="69"/>
      <c r="P61" s="69"/>
      <c r="AH61" s="11">
        <v>0</v>
      </c>
    </row>
    <row r="62" spans="1:34" s="11" customFormat="1" ht="0.75" hidden="1" customHeight="1">
      <c r="A62" s="34"/>
      <c r="B62" s="34"/>
      <c r="C62" s="4" t="s">
        <v>1155</v>
      </c>
      <c r="D62" s="1431"/>
      <c r="E62" s="1232"/>
      <c r="F62" s="1369"/>
      <c r="G62" s="227"/>
      <c r="H62" s="823"/>
      <c r="I62" s="52"/>
      <c r="J62" s="111"/>
      <c r="K62" s="823"/>
      <c r="L62" s="108"/>
      <c r="M62" s="1193"/>
      <c r="N62" s="196"/>
      <c r="O62" s="69"/>
      <c r="P62" s="69"/>
      <c r="AH62" s="11">
        <v>0</v>
      </c>
    </row>
    <row r="63" spans="1:34" s="11" customFormat="1" ht="18.75" hidden="1" customHeight="1">
      <c r="A63" s="34" t="s">
        <v>249</v>
      </c>
      <c r="B63" s="34" t="s">
        <v>250</v>
      </c>
      <c r="C63" s="4"/>
      <c r="D63" s="1431"/>
      <c r="E63" s="1232"/>
      <c r="F63" s="1369"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06" t="str">
        <f>INDEX(PT_DIFFERENTIATION_NTAR,MATCH(B63,PT_DIFFERENTIATION_NTAR_ID,0))</f>
        <v/>
      </c>
      <c r="H63" s="763"/>
      <c r="I63" s="948"/>
      <c r="J63" s="974"/>
      <c r="K63" s="1008"/>
      <c r="L63" s="763" t="s">
        <v>310</v>
      </c>
      <c r="M63" s="1193"/>
      <c r="N63" s="196"/>
      <c r="O63" s="69"/>
      <c r="P63" s="69"/>
      <c r="AH63" s="11">
        <v>0</v>
      </c>
    </row>
    <row r="64" spans="1:34" s="11" customFormat="1" ht="18.75" hidden="1" customHeight="1">
      <c r="A64" s="34"/>
      <c r="B64" s="34"/>
      <c r="C64" s="4" t="s">
        <v>1149</v>
      </c>
      <c r="D64" s="1431"/>
      <c r="E64" s="1232"/>
      <c r="F64" s="1369"/>
      <c r="G64" s="1406"/>
      <c r="H64" s="823"/>
      <c r="I64" s="52" t="s">
        <v>1150</v>
      </c>
      <c r="J64" s="111"/>
      <c r="K64" s="823"/>
      <c r="L64" s="108"/>
      <c r="M64" s="1193"/>
      <c r="N64" s="196"/>
      <c r="O64" s="69"/>
      <c r="P64" s="69"/>
      <c r="AH64" s="11">
        <v>0</v>
      </c>
    </row>
    <row r="65" spans="1:34" s="11" customFormat="1" ht="0.75" hidden="1" customHeight="1">
      <c r="A65" s="34"/>
      <c r="B65" s="34"/>
      <c r="C65" s="4" t="s">
        <v>1155</v>
      </c>
      <c r="D65" s="1431"/>
      <c r="E65" s="1232"/>
      <c r="F65" s="1369"/>
      <c r="G65" s="227"/>
      <c r="H65" s="823"/>
      <c r="I65" s="52"/>
      <c r="J65" s="111"/>
      <c r="K65" s="823"/>
      <c r="L65" s="108"/>
      <c r="M65" s="1193"/>
      <c r="N65" s="196"/>
      <c r="O65" s="69"/>
      <c r="P65" s="69"/>
      <c r="AH65" s="11">
        <v>0</v>
      </c>
    </row>
    <row r="66" spans="1:34" s="11" customFormat="1" ht="18.75" hidden="1" customHeight="1">
      <c r="A66" s="34" t="s">
        <v>254</v>
      </c>
      <c r="B66" s="34" t="s">
        <v>255</v>
      </c>
      <c r="C66" s="4"/>
      <c r="D66" s="1431"/>
      <c r="E66" s="1232"/>
      <c r="F66" s="1369" t="str">
        <f>INDEX(PT_DIFFERENTIATION_VTAR,MATCH(A66,PT_DIFFERENTIATION_VTAR_ID,0))</f>
        <v>Тариф на горячую воду (горячее водоснабжение)</v>
      </c>
      <c r="G66" s="1406" t="str">
        <f>INDEX(PT_DIFFERENTIATION_NTAR,MATCH(B66,PT_DIFFERENTIATION_NTAR_ID,0))</f>
        <v/>
      </c>
      <c r="H66" s="763"/>
      <c r="I66" s="948"/>
      <c r="J66" s="974"/>
      <c r="K66" s="1008"/>
      <c r="L66" s="763" t="s">
        <v>310</v>
      </c>
      <c r="M66" s="1193"/>
      <c r="N66" s="196"/>
      <c r="O66" s="69"/>
      <c r="P66" s="69"/>
      <c r="AH66" s="11">
        <v>0</v>
      </c>
    </row>
    <row r="67" spans="1:34" s="11" customFormat="1" ht="18.75" hidden="1" customHeight="1">
      <c r="A67" s="34"/>
      <c r="B67" s="34"/>
      <c r="C67" s="4" t="s">
        <v>1149</v>
      </c>
      <c r="D67" s="1431"/>
      <c r="E67" s="1232"/>
      <c r="F67" s="1369"/>
      <c r="G67" s="1406"/>
      <c r="H67" s="823"/>
      <c r="I67" s="52" t="s">
        <v>1150</v>
      </c>
      <c r="J67" s="111"/>
      <c r="K67" s="823"/>
      <c r="L67" s="108"/>
      <c r="M67" s="1193"/>
      <c r="N67" s="196"/>
      <c r="O67" s="69"/>
      <c r="P67" s="69"/>
      <c r="AH67" s="11">
        <v>0</v>
      </c>
    </row>
    <row r="68" spans="1:34" s="11" customFormat="1" ht="0.75" hidden="1" customHeight="1">
      <c r="A68" s="34"/>
      <c r="B68" s="34"/>
      <c r="C68" s="4" t="s">
        <v>1155</v>
      </c>
      <c r="D68" s="1431"/>
      <c r="E68" s="1232"/>
      <c r="F68" s="1369"/>
      <c r="G68" s="227"/>
      <c r="H68" s="823"/>
      <c r="I68" s="52"/>
      <c r="J68" s="111"/>
      <c r="K68" s="823"/>
      <c r="L68" s="108"/>
      <c r="M68" s="1193"/>
      <c r="N68" s="196"/>
      <c r="O68" s="69"/>
      <c r="P68" s="69"/>
      <c r="AH68" s="11">
        <v>0</v>
      </c>
    </row>
    <row r="69" spans="1:34" s="11" customFormat="1" ht="18.75" hidden="1" customHeight="1">
      <c r="A69" s="34" t="s">
        <v>259</v>
      </c>
      <c r="B69" s="34" t="s">
        <v>260</v>
      </c>
      <c r="C69" s="4"/>
      <c r="D69" s="1431"/>
      <c r="E69" s="1232"/>
      <c r="F69" s="1369" t="str">
        <f>INDEX(PT_DIFFERENTIATION_VTAR,MATCH(A69,PT_DIFFERENTIATION_VTAR_ID,0))</f>
        <v>Тариф на транспортировку горячей воды</v>
      </c>
      <c r="G69" s="1406" t="str">
        <f>INDEX(PT_DIFFERENTIATION_NTAR,MATCH(B69,PT_DIFFERENTIATION_NTAR_ID,0))</f>
        <v/>
      </c>
      <c r="H69" s="763"/>
      <c r="I69" s="948"/>
      <c r="J69" s="974"/>
      <c r="K69" s="1008"/>
      <c r="L69" s="763" t="s">
        <v>310</v>
      </c>
      <c r="M69" s="1193"/>
      <c r="N69" s="196"/>
      <c r="O69" s="69"/>
      <c r="P69" s="69"/>
      <c r="AH69" s="11">
        <v>0</v>
      </c>
    </row>
    <row r="70" spans="1:34" s="11" customFormat="1" ht="18.75" hidden="1" customHeight="1">
      <c r="A70" s="34"/>
      <c r="B70" s="34"/>
      <c r="C70" s="4" t="s">
        <v>1149</v>
      </c>
      <c r="D70" s="1431"/>
      <c r="E70" s="1232"/>
      <c r="F70" s="1369"/>
      <c r="G70" s="1406"/>
      <c r="H70" s="823"/>
      <c r="I70" s="52" t="s">
        <v>1150</v>
      </c>
      <c r="J70" s="111"/>
      <c r="K70" s="823"/>
      <c r="L70" s="108"/>
      <c r="M70" s="1193"/>
      <c r="N70" s="196"/>
      <c r="O70" s="69"/>
      <c r="P70" s="69"/>
      <c r="AH70" s="11">
        <v>0</v>
      </c>
    </row>
    <row r="71" spans="1:34" s="11" customFormat="1" ht="0.75" hidden="1" customHeight="1">
      <c r="A71" s="34"/>
      <c r="B71" s="34"/>
      <c r="C71" s="4" t="s">
        <v>1155</v>
      </c>
      <c r="D71" s="1431"/>
      <c r="E71" s="1232"/>
      <c r="F71" s="1369"/>
      <c r="G71" s="227"/>
      <c r="H71" s="823"/>
      <c r="I71" s="52"/>
      <c r="J71" s="111"/>
      <c r="K71" s="823"/>
      <c r="L71" s="108"/>
      <c r="M71" s="1193"/>
      <c r="N71" s="196"/>
      <c r="O71" s="69"/>
      <c r="P71" s="69"/>
      <c r="AH71" s="11">
        <v>0</v>
      </c>
    </row>
    <row r="72" spans="1:34" s="11" customFormat="1" ht="18.75" hidden="1" customHeight="1">
      <c r="A72" s="34" t="s">
        <v>264</v>
      </c>
      <c r="B72" s="34" t="s">
        <v>265</v>
      </c>
      <c r="C72" s="4"/>
      <c r="D72" s="1431"/>
      <c r="E72" s="1232"/>
      <c r="F72" s="1369" t="str">
        <f>INDEX(PT_DIFFERENTIATION_VTAR,MATCH(A72,PT_DIFFERENTIATION_VTAR_ID,0))</f>
        <v>Тариф на подключение (технологическое присоединение) к централизованной системе горячего водоснабжения</v>
      </c>
      <c r="G72" s="1406" t="str">
        <f>INDEX(PT_DIFFERENTIATION_NTAR,MATCH(B72,PT_DIFFERENTIATION_NTAR_ID,0))</f>
        <v/>
      </c>
      <c r="H72" s="763"/>
      <c r="I72" s="948"/>
      <c r="J72" s="974"/>
      <c r="K72" s="1008"/>
      <c r="L72" s="763" t="s">
        <v>310</v>
      </c>
      <c r="M72" s="1193"/>
      <c r="N72" s="196"/>
      <c r="O72" s="69"/>
      <c r="P72" s="69"/>
      <c r="AH72" s="11">
        <v>0</v>
      </c>
    </row>
    <row r="73" spans="1:34" s="11" customFormat="1" ht="18.75" hidden="1" customHeight="1">
      <c r="A73" s="34"/>
      <c r="B73" s="34"/>
      <c r="C73" s="4" t="s">
        <v>1149</v>
      </c>
      <c r="D73" s="1431"/>
      <c r="E73" s="1232"/>
      <c r="F73" s="1369"/>
      <c r="G73" s="1406"/>
      <c r="H73" s="823"/>
      <c r="I73" s="52" t="s">
        <v>1150</v>
      </c>
      <c r="J73" s="111"/>
      <c r="K73" s="823"/>
      <c r="L73" s="108"/>
      <c r="M73" s="1193"/>
      <c r="N73" s="196"/>
      <c r="O73" s="69"/>
      <c r="P73" s="69"/>
      <c r="AH73" s="11">
        <v>0</v>
      </c>
    </row>
    <row r="74" spans="1:34" s="11" customFormat="1" ht="0.75" hidden="1" customHeight="1">
      <c r="A74" s="34"/>
      <c r="B74" s="34"/>
      <c r="C74" s="4" t="s">
        <v>1155</v>
      </c>
      <c r="D74" s="1431"/>
      <c r="E74" s="1232"/>
      <c r="F74" s="1369"/>
      <c r="G74" s="227"/>
      <c r="H74" s="823"/>
      <c r="I74" s="52"/>
      <c r="J74" s="111"/>
      <c r="K74" s="823"/>
      <c r="L74" s="108"/>
      <c r="M74" s="1193"/>
      <c r="N74" s="196"/>
      <c r="O74" s="69"/>
      <c r="P74" s="69"/>
      <c r="AH74" s="11">
        <v>0</v>
      </c>
    </row>
    <row r="75" spans="1:34" s="11" customFormat="1" ht="18.75" hidden="1" customHeight="1">
      <c r="A75" s="34" t="s">
        <v>269</v>
      </c>
      <c r="B75" s="34" t="s">
        <v>270</v>
      </c>
      <c r="C75" s="4"/>
      <c r="D75" s="1431"/>
      <c r="E75" s="1232"/>
      <c r="F75" s="1369" t="str">
        <f>INDEX(PT_DIFFERENTIATION_VTAR,MATCH(A75,PT_DIFFERENTIATION_VTAR_ID,0))</f>
        <v>Тариф на водоотведение</v>
      </c>
      <c r="G75" s="1406" t="str">
        <f>INDEX(PT_DIFFERENTIATION_NTAR,MATCH(B75,PT_DIFFERENTIATION_NTAR_ID,0))</f>
        <v/>
      </c>
      <c r="H75" s="763"/>
      <c r="I75" s="948"/>
      <c r="J75" s="974"/>
      <c r="K75" s="1008"/>
      <c r="L75" s="763" t="s">
        <v>310</v>
      </c>
      <c r="M75" s="1193"/>
      <c r="N75" s="196"/>
      <c r="O75" s="69"/>
      <c r="P75" s="69"/>
      <c r="AH75" s="11">
        <v>0</v>
      </c>
    </row>
    <row r="76" spans="1:34" s="11" customFormat="1" ht="18.75" hidden="1" customHeight="1">
      <c r="A76" s="34"/>
      <c r="B76" s="34"/>
      <c r="C76" s="4" t="s">
        <v>1149</v>
      </c>
      <c r="D76" s="1431"/>
      <c r="E76" s="1232"/>
      <c r="F76" s="1369"/>
      <c r="G76" s="1406"/>
      <c r="H76" s="823"/>
      <c r="I76" s="52" t="s">
        <v>1150</v>
      </c>
      <c r="J76" s="111"/>
      <c r="K76" s="823"/>
      <c r="L76" s="108"/>
      <c r="M76" s="1193"/>
      <c r="N76" s="196"/>
      <c r="O76" s="69"/>
      <c r="P76" s="69"/>
      <c r="AH76" s="11">
        <v>0</v>
      </c>
    </row>
    <row r="77" spans="1:34" s="11" customFormat="1" ht="0.75" hidden="1" customHeight="1">
      <c r="A77" s="34"/>
      <c r="B77" s="34"/>
      <c r="C77" s="4" t="s">
        <v>1155</v>
      </c>
      <c r="D77" s="1431"/>
      <c r="E77" s="1232"/>
      <c r="F77" s="1369"/>
      <c r="G77" s="227"/>
      <c r="H77" s="823"/>
      <c r="I77" s="52"/>
      <c r="J77" s="111"/>
      <c r="K77" s="823"/>
      <c r="L77" s="108"/>
      <c r="M77" s="1193"/>
      <c r="N77" s="196"/>
      <c r="O77" s="69"/>
      <c r="P77" s="69"/>
      <c r="AH77" s="11">
        <v>0</v>
      </c>
    </row>
    <row r="78" spans="1:34" s="11" customFormat="1" ht="18.75" hidden="1" customHeight="1">
      <c r="A78" s="34" t="s">
        <v>274</v>
      </c>
      <c r="B78" s="34" t="s">
        <v>275</v>
      </c>
      <c r="C78" s="4"/>
      <c r="D78" s="1431"/>
      <c r="E78" s="1232"/>
      <c r="F78" s="1369" t="str">
        <f>INDEX(PT_DIFFERENTIATION_VTAR,MATCH(A78,PT_DIFFERENTIATION_VTAR_ID,0))</f>
        <v>Тариф на транспортировку сточных вод</v>
      </c>
      <c r="G78" s="1406" t="str">
        <f>INDEX(PT_DIFFERENTIATION_NTAR,MATCH(B78,PT_DIFFERENTIATION_NTAR_ID,0))</f>
        <v/>
      </c>
      <c r="H78" s="763"/>
      <c r="I78" s="948"/>
      <c r="J78" s="974"/>
      <c r="K78" s="1008"/>
      <c r="L78" s="763" t="s">
        <v>310</v>
      </c>
      <c r="M78" s="1193"/>
      <c r="N78" s="196"/>
      <c r="O78" s="69"/>
      <c r="P78" s="69"/>
      <c r="AH78" s="11">
        <v>0</v>
      </c>
    </row>
    <row r="79" spans="1:34" s="11" customFormat="1" ht="18.75" hidden="1" customHeight="1">
      <c r="A79" s="34"/>
      <c r="B79" s="34"/>
      <c r="C79" s="4" t="s">
        <v>1149</v>
      </c>
      <c r="D79" s="1431"/>
      <c r="E79" s="1232"/>
      <c r="F79" s="1369"/>
      <c r="G79" s="1406"/>
      <c r="H79" s="823"/>
      <c r="I79" s="52" t="s">
        <v>1150</v>
      </c>
      <c r="J79" s="111"/>
      <c r="K79" s="823"/>
      <c r="L79" s="108"/>
      <c r="M79" s="1193"/>
      <c r="N79" s="196"/>
      <c r="O79" s="69"/>
      <c r="P79" s="69"/>
      <c r="AH79" s="11">
        <v>0</v>
      </c>
    </row>
    <row r="80" spans="1:34" s="11" customFormat="1" ht="0.75" hidden="1" customHeight="1">
      <c r="A80" s="34"/>
      <c r="B80" s="34"/>
      <c r="C80" s="4" t="s">
        <v>1155</v>
      </c>
      <c r="D80" s="1431"/>
      <c r="E80" s="1232"/>
      <c r="F80" s="1369"/>
      <c r="G80" s="227"/>
      <c r="H80" s="823"/>
      <c r="I80" s="52"/>
      <c r="J80" s="111"/>
      <c r="K80" s="823"/>
      <c r="L80" s="108"/>
      <c r="M80" s="1193"/>
      <c r="N80" s="196"/>
      <c r="O80" s="69"/>
      <c r="P80" s="69"/>
      <c r="AH80" s="11">
        <v>0</v>
      </c>
    </row>
    <row r="81" spans="1:34" s="11" customFormat="1" ht="18.75" hidden="1" customHeight="1">
      <c r="A81" s="34" t="s">
        <v>279</v>
      </c>
      <c r="B81" s="34" t="s">
        <v>280</v>
      </c>
      <c r="C81" s="4"/>
      <c r="D81" s="1431"/>
      <c r="E81" s="1232"/>
      <c r="F81" s="1369" t="str">
        <f>INDEX(PT_DIFFERENTIATION_VTAR,MATCH(A81,PT_DIFFERENTIATION_VTAR_ID,0))</f>
        <v>Тариф на подключение (технологическое присоединение) к централизованной системе водоотведения</v>
      </c>
      <c r="G81" s="1406" t="str">
        <f>INDEX(PT_DIFFERENTIATION_NTAR,MATCH(B81,PT_DIFFERENTIATION_NTAR_ID,0))</f>
        <v/>
      </c>
      <c r="H81" s="763"/>
      <c r="I81" s="948"/>
      <c r="J81" s="974"/>
      <c r="K81" s="1008"/>
      <c r="L81" s="763" t="s">
        <v>310</v>
      </c>
      <c r="M81" s="1193"/>
      <c r="N81" s="196"/>
      <c r="O81" s="69"/>
      <c r="P81" s="69"/>
      <c r="AH81" s="11">
        <v>0</v>
      </c>
    </row>
    <row r="82" spans="1:34" s="11" customFormat="1" ht="18.75" hidden="1" customHeight="1">
      <c r="A82" s="34"/>
      <c r="B82" s="34"/>
      <c r="C82" s="4" t="s">
        <v>1149</v>
      </c>
      <c r="D82" s="1431"/>
      <c r="E82" s="1232"/>
      <c r="F82" s="1369"/>
      <c r="G82" s="1406"/>
      <c r="H82" s="823"/>
      <c r="I82" s="52" t="s">
        <v>1150</v>
      </c>
      <c r="J82" s="111"/>
      <c r="K82" s="823"/>
      <c r="L82" s="108"/>
      <c r="M82" s="1193"/>
      <c r="N82" s="196"/>
      <c r="O82" s="69"/>
      <c r="P82" s="69"/>
      <c r="AH82" s="11">
        <v>0</v>
      </c>
    </row>
    <row r="83" spans="1:34" s="11" customFormat="1" ht="1.1499999999999999" customHeight="1">
      <c r="A83" s="34"/>
      <c r="B83" s="34"/>
      <c r="C83" s="4" t="s">
        <v>1155</v>
      </c>
      <c r="D83" s="1431"/>
      <c r="E83" s="1232"/>
      <c r="F83" s="1369"/>
      <c r="G83" s="227"/>
      <c r="H83" s="823"/>
      <c r="I83" s="52"/>
      <c r="J83" s="111"/>
      <c r="K83" s="823"/>
      <c r="L83" s="108"/>
      <c r="M83" s="1193"/>
      <c r="N83" s="196"/>
      <c r="O83" s="69"/>
      <c r="P83" s="69"/>
      <c r="AH83" s="11">
        <v>1</v>
      </c>
    </row>
    <row r="84" spans="1:34" ht="19.899999999999999" customHeight="1">
      <c r="A84" s="34"/>
      <c r="B84" s="34"/>
      <c r="D84" s="28"/>
      <c r="E84" s="64" t="s">
        <v>103</v>
      </c>
      <c r="F84" s="143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1430"/>
      <c r="H84" s="1430"/>
      <c r="I84" s="1430"/>
      <c r="J84" s="1430"/>
      <c r="K84" s="1430"/>
      <c r="L84" s="1430"/>
      <c r="M84" s="114"/>
      <c r="N84" s="196"/>
      <c r="AH84" s="11">
        <v>19</v>
      </c>
    </row>
    <row r="85" spans="1:34" ht="35.65" customHeight="1">
      <c r="A85" s="34"/>
      <c r="B85" s="34"/>
      <c r="D85" s="28"/>
      <c r="E85" s="226"/>
      <c r="F85" s="39" t="s">
        <v>310</v>
      </c>
      <c r="G85" s="39" t="s">
        <v>310</v>
      </c>
      <c r="H85" s="1242" t="s">
        <v>310</v>
      </c>
      <c r="I85" s="1255"/>
      <c r="J85" s="39" t="s">
        <v>310</v>
      </c>
      <c r="K85" s="39" t="s">
        <v>310</v>
      </c>
      <c r="L85" s="228"/>
      <c r="M85" s="67" t="s">
        <v>1156</v>
      </c>
      <c r="N85" s="196"/>
      <c r="AH85" s="11">
        <v>34</v>
      </c>
    </row>
    <row r="86" spans="1:34" ht="19.899999999999999" customHeight="1">
      <c r="A86" s="34"/>
      <c r="B86" s="34"/>
      <c r="D86" s="28"/>
      <c r="E86" s="64" t="s">
        <v>90</v>
      </c>
      <c r="F86" s="1430" t="s">
        <v>1157</v>
      </c>
      <c r="G86" s="1430"/>
      <c r="H86" s="1430"/>
      <c r="I86" s="1430"/>
      <c r="J86" s="1430"/>
      <c r="K86" s="1430"/>
      <c r="L86" s="1430"/>
      <c r="M86" s="114"/>
      <c r="N86" s="196"/>
      <c r="AH86" s="11">
        <v>19</v>
      </c>
    </row>
    <row r="87" spans="1:34" s="11" customFormat="1" ht="60.75" hidden="1" customHeight="1">
      <c r="A87" s="34" t="s">
        <v>161</v>
      </c>
      <c r="B87" s="34" t="s">
        <v>162</v>
      </c>
      <c r="C87" s="4"/>
      <c r="D87" s="1431"/>
      <c r="E87" s="1232"/>
      <c r="F87" s="136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06" t="str">
        <f>INDEX(PT_DIFFERENTIATION_NTAR,MATCH(B87,PT_DIFFERENTIATION_NTAR_ID,0))</f>
        <v/>
      </c>
      <c r="H87" s="763"/>
      <c r="I87" s="948"/>
      <c r="J87" s="974"/>
      <c r="K87" s="366"/>
      <c r="L87" s="763" t="s">
        <v>310</v>
      </c>
      <c r="M87" s="11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1151</v>
      </c>
      <c r="D88" s="1431"/>
      <c r="E88" s="1232"/>
      <c r="F88" s="1369"/>
      <c r="G88" s="1406"/>
      <c r="H88" s="823"/>
      <c r="I88" s="52" t="s">
        <v>1150</v>
      </c>
      <c r="J88" s="111"/>
      <c r="K88" s="823"/>
      <c r="L88" s="108"/>
      <c r="M88" s="1193"/>
      <c r="N88" s="196"/>
      <c r="O88" s="69"/>
      <c r="P88" s="69"/>
      <c r="AH88" s="11">
        <v>0</v>
      </c>
    </row>
    <row r="89" spans="1:34" s="11" customFormat="1" ht="0.75" hidden="1" customHeight="1">
      <c r="A89" s="34"/>
      <c r="B89" s="34"/>
      <c r="C89" s="4" t="s">
        <v>1158</v>
      </c>
      <c r="D89" s="1431"/>
      <c r="E89" s="1232"/>
      <c r="F89" s="1369"/>
      <c r="G89" s="227"/>
      <c r="H89" s="823"/>
      <c r="I89" s="52"/>
      <c r="J89" s="111"/>
      <c r="K89" s="823"/>
      <c r="L89" s="108"/>
      <c r="M89" s="1193"/>
      <c r="N89" s="196"/>
      <c r="O89" s="69"/>
      <c r="P89" s="69"/>
      <c r="AH89" s="11">
        <v>0</v>
      </c>
    </row>
    <row r="90" spans="1:34" s="11" customFormat="1" ht="45" hidden="1" customHeight="1">
      <c r="A90" s="34" t="s">
        <v>166</v>
      </c>
      <c r="B90" s="34" t="s">
        <v>167</v>
      </c>
      <c r="C90" s="4"/>
      <c r="D90" s="1431"/>
      <c r="E90" s="1232"/>
      <c r="F90" s="1369" t="str">
        <f>INDEX(PT_DIFFERENTIATION_VTAR,MATCH(A90,PT_DIFFERENTIATION_VTAR_ID,0))</f>
        <v/>
      </c>
      <c r="G90" s="1406" t="str">
        <f>INDEX(PT_DIFFERENTIATION_NTAR,MATCH(B90,PT_DIFFERENTIATION_NTAR_ID,0))</f>
        <v/>
      </c>
      <c r="H90" s="763"/>
      <c r="I90" s="948"/>
      <c r="J90" s="974"/>
      <c r="K90" s="366"/>
      <c r="L90" s="763" t="s">
        <v>310</v>
      </c>
      <c r="M90" s="1194"/>
      <c r="N90" s="196"/>
      <c r="O90" s="69"/>
      <c r="P90" s="69"/>
      <c r="AH90" s="11">
        <v>0</v>
      </c>
    </row>
    <row r="91" spans="1:34" s="11" customFormat="1" ht="18.75" hidden="1" customHeight="1">
      <c r="A91" s="34"/>
      <c r="B91" s="34"/>
      <c r="C91" s="4" t="s">
        <v>1151</v>
      </c>
      <c r="D91" s="1431"/>
      <c r="E91" s="1232"/>
      <c r="F91" s="1369"/>
      <c r="G91" s="1406"/>
      <c r="H91" s="823"/>
      <c r="I91" s="52" t="s">
        <v>1150</v>
      </c>
      <c r="J91" s="111"/>
      <c r="K91" s="823"/>
      <c r="L91" s="108"/>
      <c r="M91" s="1006"/>
      <c r="N91" s="196"/>
      <c r="O91" s="69"/>
      <c r="P91" s="69"/>
      <c r="AH91" s="11">
        <v>0</v>
      </c>
    </row>
    <row r="92" spans="1:34" s="11" customFormat="1" ht="0.75" hidden="1" customHeight="1">
      <c r="A92" s="34"/>
      <c r="B92" s="34"/>
      <c r="C92" s="4" t="s">
        <v>1158</v>
      </c>
      <c r="D92" s="1431"/>
      <c r="E92" s="1232"/>
      <c r="F92" s="1369"/>
      <c r="G92" s="227"/>
      <c r="H92" s="823"/>
      <c r="I92" s="52"/>
      <c r="J92" s="111"/>
      <c r="K92" s="823"/>
      <c r="L92" s="108"/>
      <c r="M92" s="201"/>
      <c r="N92" s="196"/>
      <c r="O92" s="69"/>
      <c r="P92" s="69"/>
      <c r="AH92" s="11">
        <v>0</v>
      </c>
    </row>
    <row r="93" spans="1:34" s="11" customFormat="1" ht="45" hidden="1" customHeight="1">
      <c r="A93" s="34" t="s">
        <v>173</v>
      </c>
      <c r="B93" s="34" t="s">
        <v>174</v>
      </c>
      <c r="C93" s="4"/>
      <c r="D93" s="1431"/>
      <c r="E93" s="1232"/>
      <c r="F93" s="136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06" t="str">
        <f>INDEX(PT_DIFFERENTIATION_NTAR,MATCH(B93,PT_DIFFERENTIATION_NTAR_ID,0))</f>
        <v/>
      </c>
      <c r="H93" s="763"/>
      <c r="I93" s="948"/>
      <c r="J93" s="974"/>
      <c r="K93" s="366"/>
      <c r="L93" s="763" t="s">
        <v>310</v>
      </c>
      <c r="M93" s="201"/>
      <c r="N93" s="196"/>
      <c r="O93" s="69"/>
      <c r="P93" s="69"/>
      <c r="AH93" s="11">
        <v>0</v>
      </c>
    </row>
    <row r="94" spans="1:34" s="11" customFormat="1" ht="18.75" hidden="1" customHeight="1">
      <c r="A94" s="34"/>
      <c r="B94" s="34"/>
      <c r="C94" s="4" t="s">
        <v>1151</v>
      </c>
      <c r="D94" s="1431"/>
      <c r="E94" s="1232"/>
      <c r="F94" s="1369"/>
      <c r="G94" s="1406"/>
      <c r="H94" s="823"/>
      <c r="I94" s="52" t="s">
        <v>1150</v>
      </c>
      <c r="J94" s="111"/>
      <c r="K94" s="823"/>
      <c r="L94" s="108"/>
      <c r="M94" s="201"/>
      <c r="N94" s="196"/>
      <c r="O94" s="69"/>
      <c r="P94" s="69"/>
      <c r="AH94" s="11">
        <v>0</v>
      </c>
    </row>
    <row r="95" spans="1:34" s="11" customFormat="1" ht="0.75" hidden="1" customHeight="1">
      <c r="A95" s="34"/>
      <c r="B95" s="34"/>
      <c r="C95" s="4" t="s">
        <v>1158</v>
      </c>
      <c r="D95" s="1431"/>
      <c r="E95" s="1232"/>
      <c r="F95" s="1369"/>
      <c r="G95" s="227"/>
      <c r="H95" s="823"/>
      <c r="I95" s="52"/>
      <c r="J95" s="111"/>
      <c r="K95" s="823"/>
      <c r="L95" s="108"/>
      <c r="M95" s="201"/>
      <c r="N95" s="196"/>
      <c r="O95" s="69"/>
      <c r="P95" s="69"/>
      <c r="AH95" s="11">
        <v>0</v>
      </c>
    </row>
    <row r="96" spans="1:34" s="11" customFormat="1" ht="45" hidden="1" customHeight="1">
      <c r="A96" s="34" t="s">
        <v>179</v>
      </c>
      <c r="B96" s="34" t="s">
        <v>180</v>
      </c>
      <c r="C96" s="4"/>
      <c r="D96" s="1431"/>
      <c r="E96" s="1232"/>
      <c r="F96" s="136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06" t="str">
        <f>INDEX(PT_DIFFERENTIATION_NTAR,MATCH(B96,PT_DIFFERENTIATION_NTAR_ID,0))</f>
        <v/>
      </c>
      <c r="H96" s="763"/>
      <c r="I96" s="948"/>
      <c r="J96" s="974"/>
      <c r="K96" s="366"/>
      <c r="L96" s="763" t="s">
        <v>310</v>
      </c>
      <c r="M96" s="201"/>
      <c r="N96" s="196"/>
      <c r="O96" s="69"/>
      <c r="P96" s="69"/>
      <c r="AH96" s="11">
        <v>0</v>
      </c>
    </row>
    <row r="97" spans="1:34" s="11" customFormat="1" ht="18.75" hidden="1" customHeight="1">
      <c r="A97" s="34"/>
      <c r="B97" s="34"/>
      <c r="C97" s="4" t="s">
        <v>1151</v>
      </c>
      <c r="D97" s="1431"/>
      <c r="E97" s="1232"/>
      <c r="F97" s="1369"/>
      <c r="G97" s="1406"/>
      <c r="H97" s="823"/>
      <c r="I97" s="52" t="s">
        <v>1150</v>
      </c>
      <c r="J97" s="111"/>
      <c r="K97" s="823"/>
      <c r="L97" s="108"/>
      <c r="M97" s="201"/>
      <c r="N97" s="196"/>
      <c r="O97" s="69"/>
      <c r="P97" s="69"/>
      <c r="AH97" s="11">
        <v>0</v>
      </c>
    </row>
    <row r="98" spans="1:34" s="11" customFormat="1" ht="0.75" hidden="1" customHeight="1">
      <c r="A98" s="34"/>
      <c r="B98" s="34"/>
      <c r="C98" s="4" t="s">
        <v>1158</v>
      </c>
      <c r="D98" s="1431"/>
      <c r="E98" s="1232"/>
      <c r="F98" s="1369"/>
      <c r="G98" s="227"/>
      <c r="H98" s="823"/>
      <c r="I98" s="52"/>
      <c r="J98" s="111"/>
      <c r="K98" s="823"/>
      <c r="L98" s="108"/>
      <c r="M98" s="201"/>
      <c r="N98" s="196"/>
      <c r="O98" s="69"/>
      <c r="P98" s="69"/>
      <c r="AH98" s="11">
        <v>0</v>
      </c>
    </row>
    <row r="99" spans="1:34" s="11" customFormat="1" ht="18.75" hidden="1" customHeight="1">
      <c r="A99" s="34" t="s">
        <v>185</v>
      </c>
      <c r="B99" s="34" t="s">
        <v>186</v>
      </c>
      <c r="C99" s="4"/>
      <c r="D99" s="1431"/>
      <c r="E99" s="1232"/>
      <c r="F99" s="1369" t="str">
        <f>INDEX(PT_DIFFERENTIATION_VTAR,MATCH(A99,PT_DIFFERENTIATION_VTAR_ID,0))</f>
        <v>Тарифы на услуги по передаче тепловой энергии</v>
      </c>
      <c r="G99" s="1406" t="str">
        <f>INDEX(PT_DIFFERENTIATION_NTAR,MATCH(B99,PT_DIFFERENTIATION_NTAR_ID,0))</f>
        <v/>
      </c>
      <c r="H99" s="763"/>
      <c r="I99" s="948"/>
      <c r="J99" s="974"/>
      <c r="K99" s="366"/>
      <c r="L99" s="763" t="s">
        <v>310</v>
      </c>
      <c r="M99" s="201"/>
      <c r="N99" s="196"/>
      <c r="O99" s="69"/>
      <c r="P99" s="69"/>
      <c r="AH99" s="11">
        <v>0</v>
      </c>
    </row>
    <row r="100" spans="1:34" s="11" customFormat="1" ht="18.75" hidden="1" customHeight="1">
      <c r="A100" s="34"/>
      <c r="B100" s="34"/>
      <c r="C100" s="4" t="s">
        <v>1151</v>
      </c>
      <c r="D100" s="1431"/>
      <c r="E100" s="1232"/>
      <c r="F100" s="1369"/>
      <c r="G100" s="1406"/>
      <c r="H100" s="823"/>
      <c r="I100" s="52" t="s">
        <v>1150</v>
      </c>
      <c r="J100" s="111"/>
      <c r="K100" s="823"/>
      <c r="L100" s="108"/>
      <c r="M100" s="201"/>
      <c r="N100" s="196"/>
      <c r="O100" s="69"/>
      <c r="P100" s="69"/>
      <c r="AH100" s="11">
        <v>0</v>
      </c>
    </row>
    <row r="101" spans="1:34" s="11" customFormat="1" ht="0.75" hidden="1" customHeight="1">
      <c r="A101" s="34"/>
      <c r="B101" s="34"/>
      <c r="C101" s="4" t="s">
        <v>1158</v>
      </c>
      <c r="D101" s="1431"/>
      <c r="E101" s="1232"/>
      <c r="F101" s="1369"/>
      <c r="G101" s="227"/>
      <c r="H101" s="823"/>
      <c r="I101" s="52"/>
      <c r="J101" s="111"/>
      <c r="K101" s="823"/>
      <c r="L101" s="108"/>
      <c r="M101" s="201"/>
      <c r="N101" s="196"/>
      <c r="O101" s="69"/>
      <c r="P101" s="69"/>
      <c r="AH101" s="11">
        <v>0</v>
      </c>
    </row>
    <row r="102" spans="1:34" s="11" customFormat="1" ht="18.75" hidden="1" customHeight="1">
      <c r="A102" s="34" t="s">
        <v>191</v>
      </c>
      <c r="B102" s="34" t="s">
        <v>192</v>
      </c>
      <c r="C102" s="4"/>
      <c r="D102" s="1431"/>
      <c r="E102" s="1232"/>
      <c r="F102" s="1369" t="str">
        <f>INDEX(PT_DIFFERENTIATION_VTAR,MATCH(A102,PT_DIFFERENTIATION_VTAR_ID,0))</f>
        <v>Тарифы на услуги по передаче теплоносителя</v>
      </c>
      <c r="G102" s="1406" t="str">
        <f>INDEX(PT_DIFFERENTIATION_NTAR,MATCH(B102,PT_DIFFERENTIATION_NTAR_ID,0))</f>
        <v/>
      </c>
      <c r="H102" s="763"/>
      <c r="I102" s="948"/>
      <c r="J102" s="974"/>
      <c r="K102" s="366"/>
      <c r="L102" s="763" t="s">
        <v>310</v>
      </c>
      <c r="M102" s="201"/>
      <c r="N102" s="196"/>
      <c r="O102" s="69"/>
      <c r="P102" s="69"/>
      <c r="AH102" s="11">
        <v>0</v>
      </c>
    </row>
    <row r="103" spans="1:34" s="11" customFormat="1" ht="18.75" hidden="1" customHeight="1">
      <c r="A103" s="34"/>
      <c r="B103" s="34"/>
      <c r="C103" s="4" t="s">
        <v>1151</v>
      </c>
      <c r="D103" s="1431"/>
      <c r="E103" s="1232"/>
      <c r="F103" s="1369"/>
      <c r="G103" s="1406"/>
      <c r="H103" s="823"/>
      <c r="I103" s="52" t="s">
        <v>1150</v>
      </c>
      <c r="J103" s="111"/>
      <c r="K103" s="823"/>
      <c r="L103" s="108"/>
      <c r="M103" s="201"/>
      <c r="N103" s="196"/>
      <c r="O103" s="69"/>
      <c r="P103" s="69"/>
      <c r="AH103" s="11">
        <v>0</v>
      </c>
    </row>
    <row r="104" spans="1:34" s="11" customFormat="1" ht="0.75" hidden="1" customHeight="1">
      <c r="A104" s="34"/>
      <c r="B104" s="34"/>
      <c r="C104" s="4" t="s">
        <v>1158</v>
      </c>
      <c r="D104" s="1431"/>
      <c r="E104" s="1232"/>
      <c r="F104" s="1369"/>
      <c r="G104" s="227"/>
      <c r="H104" s="823"/>
      <c r="I104" s="52"/>
      <c r="J104" s="111"/>
      <c r="K104" s="823"/>
      <c r="L104" s="108"/>
      <c r="M104" s="201"/>
      <c r="N104" s="196"/>
      <c r="O104" s="69"/>
      <c r="P104" s="69"/>
      <c r="AH104" s="11">
        <v>0</v>
      </c>
    </row>
    <row r="105" spans="1:34" s="11" customFormat="1" ht="18.75" hidden="1" customHeight="1">
      <c r="A105" s="34" t="s">
        <v>197</v>
      </c>
      <c r="B105" s="34" t="s">
        <v>198</v>
      </c>
      <c r="C105" s="4"/>
      <c r="D105" s="1431"/>
      <c r="E105" s="1232"/>
      <c r="F105" s="136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06" t="str">
        <f>INDEX(PT_DIFFERENTIATION_NTAR,MATCH(B105,PT_DIFFERENTIATION_NTAR_ID,0))</f>
        <v/>
      </c>
      <c r="H105" s="763"/>
      <c r="I105" s="948"/>
      <c r="J105" s="974"/>
      <c r="K105" s="366"/>
      <c r="L105" s="763" t="s">
        <v>310</v>
      </c>
      <c r="M105" s="201"/>
      <c r="N105" s="196"/>
      <c r="O105" s="69"/>
      <c r="P105" s="69"/>
      <c r="AH105" s="11">
        <v>0</v>
      </c>
    </row>
    <row r="106" spans="1:34" s="11" customFormat="1" ht="18.75" hidden="1" customHeight="1">
      <c r="A106" s="34"/>
      <c r="B106" s="34"/>
      <c r="C106" s="4" t="s">
        <v>1151</v>
      </c>
      <c r="D106" s="1431"/>
      <c r="E106" s="1232"/>
      <c r="F106" s="1369"/>
      <c r="G106" s="1406"/>
      <c r="H106" s="823"/>
      <c r="I106" s="52" t="s">
        <v>1150</v>
      </c>
      <c r="J106" s="111"/>
      <c r="K106" s="823"/>
      <c r="L106" s="108"/>
      <c r="M106" s="201"/>
      <c r="N106" s="196"/>
      <c r="O106" s="69"/>
      <c r="P106" s="69"/>
      <c r="AH106" s="11">
        <v>0</v>
      </c>
    </row>
    <row r="107" spans="1:34" s="11" customFormat="1" ht="0.75" hidden="1" customHeight="1">
      <c r="A107" s="34"/>
      <c r="B107" s="34"/>
      <c r="C107" s="4" t="s">
        <v>1158</v>
      </c>
      <c r="D107" s="1431"/>
      <c r="E107" s="1232"/>
      <c r="F107" s="1369"/>
      <c r="G107" s="227"/>
      <c r="H107" s="823"/>
      <c r="I107" s="52"/>
      <c r="J107" s="111"/>
      <c r="K107" s="823"/>
      <c r="L107" s="108"/>
      <c r="M107" s="201"/>
      <c r="N107" s="196"/>
      <c r="O107" s="69"/>
      <c r="P107" s="69"/>
      <c r="AH107" s="11">
        <v>0</v>
      </c>
    </row>
    <row r="108" spans="1:34" s="11" customFormat="1" ht="18.75" hidden="1" customHeight="1">
      <c r="A108" s="34" t="s">
        <v>203</v>
      </c>
      <c r="B108" s="34" t="s">
        <v>204</v>
      </c>
      <c r="C108" s="4"/>
      <c r="D108" s="1431"/>
      <c r="E108" s="1232"/>
      <c r="F108" s="1369" t="str">
        <f>INDEX(PT_DIFFERENTIATION_VTAR,MATCH(A108,PT_DIFFERENTIATION_VTAR_ID,0))</f>
        <v>Плата за подключение (технологическое присоединение) к системе теплоснабжения</v>
      </c>
      <c r="G108" s="1406" t="str">
        <f>INDEX(PT_DIFFERENTIATION_NTAR,MATCH(B108,PT_DIFFERENTIATION_NTAR_ID,0))</f>
        <v/>
      </c>
      <c r="H108" s="763"/>
      <c r="I108" s="948"/>
      <c r="J108" s="974"/>
      <c r="K108" s="366"/>
      <c r="L108" s="763" t="s">
        <v>310</v>
      </c>
      <c r="M108" s="201"/>
      <c r="N108" s="196"/>
      <c r="O108" s="69"/>
      <c r="P108" s="69"/>
      <c r="AH108" s="11">
        <v>0</v>
      </c>
    </row>
    <row r="109" spans="1:34" s="11" customFormat="1" ht="18.75" hidden="1" customHeight="1">
      <c r="A109" s="34"/>
      <c r="B109" s="34"/>
      <c r="C109" s="4" t="s">
        <v>1151</v>
      </c>
      <c r="D109" s="1431"/>
      <c r="E109" s="1232"/>
      <c r="F109" s="1369"/>
      <c r="G109" s="1406"/>
      <c r="H109" s="823"/>
      <c r="I109" s="52" t="s">
        <v>1150</v>
      </c>
      <c r="J109" s="111"/>
      <c r="K109" s="823"/>
      <c r="L109" s="108"/>
      <c r="M109" s="201"/>
      <c r="N109" s="196"/>
      <c r="O109" s="69"/>
      <c r="P109" s="69"/>
      <c r="AH109" s="11">
        <v>0</v>
      </c>
    </row>
    <row r="110" spans="1:34" s="11" customFormat="1" ht="0.75" hidden="1" customHeight="1">
      <c r="A110" s="34"/>
      <c r="B110" s="34"/>
      <c r="C110" s="4" t="s">
        <v>1158</v>
      </c>
      <c r="D110" s="1431"/>
      <c r="E110" s="1232"/>
      <c r="F110" s="1369"/>
      <c r="G110" s="227"/>
      <c r="H110" s="823"/>
      <c r="I110" s="52"/>
      <c r="J110" s="111"/>
      <c r="K110" s="823"/>
      <c r="L110" s="108"/>
      <c r="M110" s="201"/>
      <c r="N110" s="196"/>
      <c r="O110" s="69"/>
      <c r="P110" s="69"/>
      <c r="AH110" s="11">
        <v>0</v>
      </c>
    </row>
    <row r="111" spans="1:34" s="11" customFormat="1" ht="18.75" hidden="1" customHeight="1">
      <c r="A111" s="34" t="s">
        <v>209</v>
      </c>
      <c r="B111" s="34" t="s">
        <v>210</v>
      </c>
      <c r="C111" s="4"/>
      <c r="D111" s="1431"/>
      <c r="E111" s="1232"/>
      <c r="F111" s="1369" t="str">
        <f>INDEX(PT_DIFFERENTIATION_VTAR,MATCH(A111,PT_DIFFERENTIATION_VTAR_ID,0))</f>
        <v>Плата за подключение (технологическое присоединение) к системе теплоснабжения (индивидуальная)</v>
      </c>
      <c r="G111" s="1406" t="str">
        <f>INDEX(PT_DIFFERENTIATION_NTAR,MATCH(B111,PT_DIFFERENTIATION_NTAR_ID,0))</f>
        <v/>
      </c>
      <c r="H111" s="763"/>
      <c r="I111" s="948"/>
      <c r="J111" s="974"/>
      <c r="K111" s="366"/>
      <c r="L111" s="763" t="s">
        <v>310</v>
      </c>
      <c r="M111" s="201"/>
      <c r="N111" s="196"/>
      <c r="O111" s="69"/>
      <c r="P111" s="69"/>
      <c r="AH111" s="11">
        <v>0</v>
      </c>
    </row>
    <row r="112" spans="1:34" s="11" customFormat="1" ht="18.75" hidden="1" customHeight="1">
      <c r="A112" s="34"/>
      <c r="B112" s="34"/>
      <c r="C112" s="4" t="s">
        <v>1151</v>
      </c>
      <c r="D112" s="1431"/>
      <c r="E112" s="1232"/>
      <c r="F112" s="1369"/>
      <c r="G112" s="1406"/>
      <c r="H112" s="823"/>
      <c r="I112" s="52" t="s">
        <v>1150</v>
      </c>
      <c r="J112" s="111"/>
      <c r="K112" s="823"/>
      <c r="L112" s="108"/>
      <c r="M112" s="201"/>
      <c r="N112" s="196"/>
      <c r="O112" s="69"/>
      <c r="P112" s="69"/>
      <c r="AH112" s="11">
        <v>0</v>
      </c>
    </row>
    <row r="113" spans="1:34" s="11" customFormat="1" ht="0.75" hidden="1" customHeight="1">
      <c r="A113" s="34"/>
      <c r="B113" s="34"/>
      <c r="C113" s="4" t="s">
        <v>1158</v>
      </c>
      <c r="D113" s="1431"/>
      <c r="E113" s="1232"/>
      <c r="F113" s="1369"/>
      <c r="G113" s="227"/>
      <c r="H113" s="823"/>
      <c r="I113" s="52"/>
      <c r="J113" s="111"/>
      <c r="K113" s="823"/>
      <c r="L113" s="108"/>
      <c r="M113" s="201"/>
      <c r="N113" s="196"/>
      <c r="O113" s="69"/>
      <c r="P113" s="69"/>
      <c r="AH113" s="11">
        <v>0</v>
      </c>
    </row>
    <row r="114" spans="1:34" s="11" customFormat="1" ht="18.75" hidden="1" customHeight="1">
      <c r="A114" s="34" t="s">
        <v>229</v>
      </c>
      <c r="B114" s="34" t="s">
        <v>230</v>
      </c>
      <c r="C114" s="4"/>
      <c r="D114" s="1431"/>
      <c r="E114" s="1232"/>
      <c r="F114" s="1369" t="str">
        <f>INDEX(PT_DIFFERENTIATION_VTAR,MATCH(A114,PT_DIFFERENTIATION_VTAR_ID,0))</f>
        <v>Тариф на питьевую воду (питьевое водоснабжение)</v>
      </c>
      <c r="G114" s="1406" t="str">
        <f>INDEX(PT_DIFFERENTIATION_NTAR,MATCH(B114,PT_DIFFERENTIATION_NTAR_ID,0))</f>
        <v/>
      </c>
      <c r="H114" s="763"/>
      <c r="I114" s="948"/>
      <c r="J114" s="974"/>
      <c r="K114" s="366"/>
      <c r="L114" s="763" t="s">
        <v>310</v>
      </c>
      <c r="M114" s="201"/>
      <c r="N114" s="196"/>
      <c r="O114" s="69"/>
      <c r="P114" s="69"/>
      <c r="AH114" s="11">
        <v>0</v>
      </c>
    </row>
    <row r="115" spans="1:34" s="11" customFormat="1" ht="18.75" hidden="1" customHeight="1">
      <c r="A115" s="34"/>
      <c r="B115" s="34"/>
      <c r="C115" s="4" t="s">
        <v>1151</v>
      </c>
      <c r="D115" s="1431"/>
      <c r="E115" s="1232"/>
      <c r="F115" s="1369"/>
      <c r="G115" s="1406"/>
      <c r="H115" s="823"/>
      <c r="I115" s="52" t="s">
        <v>1150</v>
      </c>
      <c r="J115" s="111"/>
      <c r="K115" s="823"/>
      <c r="L115" s="108"/>
      <c r="M115" s="201"/>
      <c r="N115" s="196"/>
      <c r="O115" s="69"/>
      <c r="P115" s="69"/>
      <c r="AH115" s="11">
        <v>0</v>
      </c>
    </row>
    <row r="116" spans="1:34" s="11" customFormat="1" ht="0.75" hidden="1" customHeight="1">
      <c r="A116" s="34"/>
      <c r="B116" s="34"/>
      <c r="C116" s="4" t="s">
        <v>1158</v>
      </c>
      <c r="D116" s="1431"/>
      <c r="E116" s="1232"/>
      <c r="F116" s="1369"/>
      <c r="G116" s="227"/>
      <c r="H116" s="823"/>
      <c r="I116" s="52"/>
      <c r="J116" s="111"/>
      <c r="K116" s="823"/>
      <c r="L116" s="108"/>
      <c r="M116" s="201"/>
      <c r="N116" s="196"/>
      <c r="O116" s="69"/>
      <c r="P116" s="69"/>
      <c r="AH116" s="11">
        <v>0</v>
      </c>
    </row>
    <row r="117" spans="1:34" s="11" customFormat="1" ht="18.75" hidden="1" customHeight="1">
      <c r="A117" s="34" t="s">
        <v>234</v>
      </c>
      <c r="B117" s="34" t="s">
        <v>235</v>
      </c>
      <c r="C117" s="4"/>
      <c r="D117" s="1431"/>
      <c r="E117" s="1232"/>
      <c r="F117" s="1369" t="str">
        <f>INDEX(PT_DIFFERENTIATION_VTAR,MATCH(A117,PT_DIFFERENTIATION_VTAR_ID,0))</f>
        <v>Тариф на техническую воду</v>
      </c>
      <c r="G117" s="1406" t="str">
        <f>INDEX(PT_DIFFERENTIATION_NTAR,MATCH(B117,PT_DIFFERENTIATION_NTAR_ID,0))</f>
        <v/>
      </c>
      <c r="H117" s="763"/>
      <c r="I117" s="948"/>
      <c r="J117" s="974"/>
      <c r="K117" s="366"/>
      <c r="L117" s="763" t="s">
        <v>310</v>
      </c>
      <c r="M117" s="201"/>
      <c r="N117" s="196"/>
      <c r="O117" s="69"/>
      <c r="P117" s="69"/>
      <c r="AH117" s="11">
        <v>0</v>
      </c>
    </row>
    <row r="118" spans="1:34" s="11" customFormat="1" ht="18.75" hidden="1" customHeight="1">
      <c r="A118" s="34"/>
      <c r="B118" s="34"/>
      <c r="C118" s="4" t="s">
        <v>1151</v>
      </c>
      <c r="D118" s="1431"/>
      <c r="E118" s="1232"/>
      <c r="F118" s="1369"/>
      <c r="G118" s="1406"/>
      <c r="H118" s="823"/>
      <c r="I118" s="52" t="s">
        <v>1150</v>
      </c>
      <c r="J118" s="111"/>
      <c r="K118" s="823"/>
      <c r="L118" s="108"/>
      <c r="M118" s="201"/>
      <c r="N118" s="196"/>
      <c r="O118" s="69"/>
      <c r="P118" s="69"/>
      <c r="AH118" s="11">
        <v>0</v>
      </c>
    </row>
    <row r="119" spans="1:34" s="11" customFormat="1" ht="0.75" hidden="1" customHeight="1">
      <c r="A119" s="34"/>
      <c r="B119" s="34"/>
      <c r="C119" s="4" t="s">
        <v>1158</v>
      </c>
      <c r="D119" s="1431"/>
      <c r="E119" s="1232"/>
      <c r="F119" s="1369"/>
      <c r="G119" s="227"/>
      <c r="H119" s="823"/>
      <c r="I119" s="52"/>
      <c r="J119" s="111"/>
      <c r="K119" s="823"/>
      <c r="L119" s="108"/>
      <c r="M119" s="201"/>
      <c r="N119" s="196"/>
      <c r="O119" s="69"/>
      <c r="P119" s="69"/>
      <c r="AH119" s="11">
        <v>0</v>
      </c>
    </row>
    <row r="120" spans="1:34" s="11" customFormat="1" ht="18.75" hidden="1" customHeight="1">
      <c r="A120" s="34" t="s">
        <v>239</v>
      </c>
      <c r="B120" s="34" t="s">
        <v>240</v>
      </c>
      <c r="C120" s="4"/>
      <c r="D120" s="1431"/>
      <c r="E120" s="1232"/>
      <c r="F120" s="1369" t="str">
        <f>INDEX(PT_DIFFERENTIATION_VTAR,MATCH(A120,PT_DIFFERENTIATION_VTAR_ID,0))</f>
        <v>Тариф на транспортировку воды</v>
      </c>
      <c r="G120" s="1406" t="str">
        <f>INDEX(PT_DIFFERENTIATION_NTAR,MATCH(B120,PT_DIFFERENTIATION_NTAR_ID,0))</f>
        <v/>
      </c>
      <c r="H120" s="763"/>
      <c r="I120" s="948"/>
      <c r="J120" s="974"/>
      <c r="K120" s="366"/>
      <c r="L120" s="763" t="s">
        <v>310</v>
      </c>
      <c r="M120" s="201"/>
      <c r="N120" s="196"/>
      <c r="O120" s="69"/>
      <c r="P120" s="69"/>
      <c r="AH120" s="11">
        <v>0</v>
      </c>
    </row>
    <row r="121" spans="1:34" s="11" customFormat="1" ht="18.75" hidden="1" customHeight="1">
      <c r="A121" s="34"/>
      <c r="B121" s="34"/>
      <c r="C121" s="4" t="s">
        <v>1151</v>
      </c>
      <c r="D121" s="1431"/>
      <c r="E121" s="1232"/>
      <c r="F121" s="1369"/>
      <c r="G121" s="1406"/>
      <c r="H121" s="823"/>
      <c r="I121" s="52" t="s">
        <v>1150</v>
      </c>
      <c r="J121" s="111"/>
      <c r="K121" s="823"/>
      <c r="L121" s="108"/>
      <c r="M121" s="201"/>
      <c r="N121" s="196"/>
      <c r="O121" s="69"/>
      <c r="P121" s="69"/>
      <c r="AH121" s="11">
        <v>0</v>
      </c>
    </row>
    <row r="122" spans="1:34" s="11" customFormat="1" ht="0.75" hidden="1" customHeight="1">
      <c r="A122" s="34"/>
      <c r="B122" s="34"/>
      <c r="C122" s="4" t="s">
        <v>1158</v>
      </c>
      <c r="D122" s="1431"/>
      <c r="E122" s="1232"/>
      <c r="F122" s="1369"/>
      <c r="G122" s="227"/>
      <c r="H122" s="823"/>
      <c r="I122" s="52"/>
      <c r="J122" s="111"/>
      <c r="K122" s="823"/>
      <c r="L122" s="108"/>
      <c r="M122" s="201"/>
      <c r="N122" s="196"/>
      <c r="O122" s="69"/>
      <c r="P122" s="69"/>
      <c r="AH122" s="11">
        <v>0</v>
      </c>
    </row>
    <row r="123" spans="1:34" s="11" customFormat="1" ht="18.75" hidden="1" customHeight="1">
      <c r="A123" s="34" t="s">
        <v>244</v>
      </c>
      <c r="B123" s="34" t="s">
        <v>245</v>
      </c>
      <c r="C123" s="4"/>
      <c r="D123" s="1431"/>
      <c r="E123" s="1232"/>
      <c r="F123" s="1369" t="str">
        <f>INDEX(PT_DIFFERENTIATION_VTAR,MATCH(A123,PT_DIFFERENTIATION_VTAR_ID,0))</f>
        <v>Тариф на подвоз воды</v>
      </c>
      <c r="G123" s="1406" t="str">
        <f>INDEX(PT_DIFFERENTIATION_NTAR,MATCH(B123,PT_DIFFERENTIATION_NTAR_ID,0))</f>
        <v/>
      </c>
      <c r="H123" s="763"/>
      <c r="I123" s="948"/>
      <c r="J123" s="974"/>
      <c r="K123" s="366"/>
      <c r="L123" s="763" t="s">
        <v>310</v>
      </c>
      <c r="M123" s="201"/>
      <c r="N123" s="196"/>
      <c r="O123" s="69"/>
      <c r="P123" s="69"/>
      <c r="AH123" s="11">
        <v>0</v>
      </c>
    </row>
    <row r="124" spans="1:34" s="11" customFormat="1" ht="18.75" hidden="1" customHeight="1">
      <c r="A124" s="34"/>
      <c r="B124" s="34"/>
      <c r="C124" s="4" t="s">
        <v>1151</v>
      </c>
      <c r="D124" s="1431"/>
      <c r="E124" s="1232"/>
      <c r="F124" s="1369"/>
      <c r="G124" s="1406"/>
      <c r="H124" s="823"/>
      <c r="I124" s="52" t="s">
        <v>1150</v>
      </c>
      <c r="J124" s="111"/>
      <c r="K124" s="823"/>
      <c r="L124" s="108"/>
      <c r="M124" s="201"/>
      <c r="N124" s="196"/>
      <c r="O124" s="69"/>
      <c r="P124" s="69"/>
      <c r="AH124" s="11">
        <v>0</v>
      </c>
    </row>
    <row r="125" spans="1:34" s="11" customFormat="1" ht="0.75" hidden="1" customHeight="1">
      <c r="A125" s="34"/>
      <c r="B125" s="34"/>
      <c r="C125" s="4" t="s">
        <v>1158</v>
      </c>
      <c r="D125" s="1431"/>
      <c r="E125" s="1232"/>
      <c r="F125" s="1369"/>
      <c r="G125" s="227"/>
      <c r="H125" s="823"/>
      <c r="I125" s="52"/>
      <c r="J125" s="111"/>
      <c r="K125" s="823"/>
      <c r="L125" s="108"/>
      <c r="M125" s="201"/>
      <c r="N125" s="196"/>
      <c r="O125" s="69"/>
      <c r="P125" s="69"/>
      <c r="AH125" s="11">
        <v>0</v>
      </c>
    </row>
    <row r="126" spans="1:34" s="11" customFormat="1" ht="18.75" hidden="1" customHeight="1">
      <c r="A126" s="34" t="s">
        <v>249</v>
      </c>
      <c r="B126" s="34" t="s">
        <v>250</v>
      </c>
      <c r="C126" s="4"/>
      <c r="D126" s="1431"/>
      <c r="E126" s="1232"/>
      <c r="F126" s="136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06" t="str">
        <f>INDEX(PT_DIFFERENTIATION_NTAR,MATCH(B126,PT_DIFFERENTIATION_NTAR_ID,0))</f>
        <v/>
      </c>
      <c r="H126" s="763"/>
      <c r="I126" s="948"/>
      <c r="J126" s="974"/>
      <c r="K126" s="366"/>
      <c r="L126" s="763" t="s">
        <v>310</v>
      </c>
      <c r="M126" s="201"/>
      <c r="N126" s="196"/>
      <c r="O126" s="69"/>
      <c r="P126" s="69"/>
      <c r="AH126" s="11">
        <v>0</v>
      </c>
    </row>
    <row r="127" spans="1:34" s="11" customFormat="1" ht="18.75" hidden="1" customHeight="1">
      <c r="A127" s="34"/>
      <c r="B127" s="34"/>
      <c r="C127" s="4" t="s">
        <v>1151</v>
      </c>
      <c r="D127" s="1431"/>
      <c r="E127" s="1232"/>
      <c r="F127" s="1369"/>
      <c r="G127" s="1406"/>
      <c r="H127" s="823"/>
      <c r="I127" s="52" t="s">
        <v>1150</v>
      </c>
      <c r="J127" s="111"/>
      <c r="K127" s="823"/>
      <c r="L127" s="108"/>
      <c r="M127" s="201"/>
      <c r="N127" s="196"/>
      <c r="O127" s="69"/>
      <c r="P127" s="69"/>
      <c r="AH127" s="11">
        <v>0</v>
      </c>
    </row>
    <row r="128" spans="1:34" s="11" customFormat="1" ht="0.75" hidden="1" customHeight="1">
      <c r="A128" s="34"/>
      <c r="B128" s="34"/>
      <c r="C128" s="4" t="s">
        <v>1158</v>
      </c>
      <c r="D128" s="1431"/>
      <c r="E128" s="1232"/>
      <c r="F128" s="1369"/>
      <c r="G128" s="227"/>
      <c r="H128" s="823"/>
      <c r="I128" s="52"/>
      <c r="J128" s="111"/>
      <c r="K128" s="823"/>
      <c r="L128" s="108"/>
      <c r="M128" s="201"/>
      <c r="N128" s="196"/>
      <c r="O128" s="69"/>
      <c r="P128" s="69"/>
      <c r="AH128" s="11">
        <v>0</v>
      </c>
    </row>
    <row r="129" spans="1:34" s="11" customFormat="1" ht="18.75" hidden="1" customHeight="1">
      <c r="A129" s="34" t="s">
        <v>254</v>
      </c>
      <c r="B129" s="34" t="s">
        <v>255</v>
      </c>
      <c r="C129" s="4"/>
      <c r="D129" s="1431"/>
      <c r="E129" s="1232"/>
      <c r="F129" s="1369" t="str">
        <f>INDEX(PT_DIFFERENTIATION_VTAR,MATCH(A129,PT_DIFFERENTIATION_VTAR_ID,0))</f>
        <v>Тариф на горячую воду (горячее водоснабжение)</v>
      </c>
      <c r="G129" s="1406" t="str">
        <f>INDEX(PT_DIFFERENTIATION_NTAR,MATCH(B129,PT_DIFFERENTIATION_NTAR_ID,0))</f>
        <v/>
      </c>
      <c r="H129" s="763"/>
      <c r="I129" s="948"/>
      <c r="J129" s="974"/>
      <c r="K129" s="366"/>
      <c r="L129" s="763" t="s">
        <v>310</v>
      </c>
      <c r="M129" s="201"/>
      <c r="N129" s="196"/>
      <c r="O129" s="69"/>
      <c r="P129" s="69"/>
      <c r="AH129" s="11">
        <v>0</v>
      </c>
    </row>
    <row r="130" spans="1:34" s="11" customFormat="1" ht="18.75" hidden="1" customHeight="1">
      <c r="A130" s="34"/>
      <c r="B130" s="34"/>
      <c r="C130" s="4" t="s">
        <v>1151</v>
      </c>
      <c r="D130" s="1431"/>
      <c r="E130" s="1232"/>
      <c r="F130" s="1369"/>
      <c r="G130" s="1406"/>
      <c r="H130" s="823"/>
      <c r="I130" s="52" t="s">
        <v>1150</v>
      </c>
      <c r="J130" s="111"/>
      <c r="K130" s="823"/>
      <c r="L130" s="108"/>
      <c r="M130" s="201"/>
      <c r="N130" s="196"/>
      <c r="O130" s="69"/>
      <c r="P130" s="69"/>
      <c r="AH130" s="11">
        <v>0</v>
      </c>
    </row>
    <row r="131" spans="1:34" s="11" customFormat="1" ht="0.75" hidden="1" customHeight="1">
      <c r="A131" s="34"/>
      <c r="B131" s="34"/>
      <c r="C131" s="4" t="s">
        <v>1158</v>
      </c>
      <c r="D131" s="1431"/>
      <c r="E131" s="1232"/>
      <c r="F131" s="1369"/>
      <c r="G131" s="227"/>
      <c r="H131" s="823"/>
      <c r="I131" s="52"/>
      <c r="J131" s="111"/>
      <c r="K131" s="823"/>
      <c r="L131" s="108"/>
      <c r="M131" s="201"/>
      <c r="N131" s="196"/>
      <c r="O131" s="69"/>
      <c r="P131" s="69"/>
      <c r="AH131" s="11">
        <v>0</v>
      </c>
    </row>
    <row r="132" spans="1:34" s="11" customFormat="1" ht="18.75" hidden="1" customHeight="1">
      <c r="A132" s="34" t="s">
        <v>259</v>
      </c>
      <c r="B132" s="34" t="s">
        <v>260</v>
      </c>
      <c r="C132" s="4"/>
      <c r="D132" s="1431"/>
      <c r="E132" s="1232"/>
      <c r="F132" s="1369" t="str">
        <f>INDEX(PT_DIFFERENTIATION_VTAR,MATCH(A132,PT_DIFFERENTIATION_VTAR_ID,0))</f>
        <v>Тариф на транспортировку горячей воды</v>
      </c>
      <c r="G132" s="1406" t="str">
        <f>INDEX(PT_DIFFERENTIATION_NTAR,MATCH(B132,PT_DIFFERENTIATION_NTAR_ID,0))</f>
        <v/>
      </c>
      <c r="H132" s="763"/>
      <c r="I132" s="948"/>
      <c r="J132" s="974"/>
      <c r="K132" s="366"/>
      <c r="L132" s="763" t="s">
        <v>310</v>
      </c>
      <c r="M132" s="201"/>
      <c r="N132" s="196"/>
      <c r="O132" s="69"/>
      <c r="P132" s="69"/>
      <c r="AH132" s="11">
        <v>0</v>
      </c>
    </row>
    <row r="133" spans="1:34" s="11" customFormat="1" ht="18.75" hidden="1" customHeight="1">
      <c r="A133" s="34"/>
      <c r="B133" s="34"/>
      <c r="C133" s="4" t="s">
        <v>1151</v>
      </c>
      <c r="D133" s="1431"/>
      <c r="E133" s="1232"/>
      <c r="F133" s="1369"/>
      <c r="G133" s="1406"/>
      <c r="H133" s="823"/>
      <c r="I133" s="52" t="s">
        <v>1150</v>
      </c>
      <c r="J133" s="111"/>
      <c r="K133" s="823"/>
      <c r="L133" s="108"/>
      <c r="M133" s="201"/>
      <c r="N133" s="196"/>
      <c r="O133" s="69"/>
      <c r="P133" s="69"/>
      <c r="AH133" s="11">
        <v>0</v>
      </c>
    </row>
    <row r="134" spans="1:34" s="11" customFormat="1" ht="0.75" hidden="1" customHeight="1">
      <c r="A134" s="34"/>
      <c r="B134" s="34"/>
      <c r="C134" s="4" t="s">
        <v>1158</v>
      </c>
      <c r="D134" s="1431"/>
      <c r="E134" s="1232"/>
      <c r="F134" s="1369"/>
      <c r="G134" s="227"/>
      <c r="H134" s="823"/>
      <c r="I134" s="52"/>
      <c r="J134" s="111"/>
      <c r="K134" s="823"/>
      <c r="L134" s="108"/>
      <c r="M134" s="201"/>
      <c r="N134" s="196"/>
      <c r="O134" s="69"/>
      <c r="P134" s="69"/>
      <c r="AH134" s="11">
        <v>0</v>
      </c>
    </row>
    <row r="135" spans="1:34" s="11" customFormat="1" ht="18.75" hidden="1" customHeight="1">
      <c r="A135" s="34" t="s">
        <v>264</v>
      </c>
      <c r="B135" s="34" t="s">
        <v>265</v>
      </c>
      <c r="C135" s="4"/>
      <c r="D135" s="1431"/>
      <c r="E135" s="1232"/>
      <c r="F135" s="1369"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06" t="str">
        <f>INDEX(PT_DIFFERENTIATION_NTAR,MATCH(B135,PT_DIFFERENTIATION_NTAR_ID,0))</f>
        <v/>
      </c>
      <c r="H135" s="763"/>
      <c r="I135" s="948"/>
      <c r="J135" s="974"/>
      <c r="K135" s="366"/>
      <c r="L135" s="763" t="s">
        <v>310</v>
      </c>
      <c r="M135" s="201"/>
      <c r="N135" s="196"/>
      <c r="O135" s="69"/>
      <c r="P135" s="69"/>
      <c r="AH135" s="11">
        <v>0</v>
      </c>
    </row>
    <row r="136" spans="1:34" s="11" customFormat="1" ht="18.75" hidden="1" customHeight="1">
      <c r="A136" s="34"/>
      <c r="B136" s="34"/>
      <c r="C136" s="4" t="s">
        <v>1151</v>
      </c>
      <c r="D136" s="1431"/>
      <c r="E136" s="1232"/>
      <c r="F136" s="1369"/>
      <c r="G136" s="1406"/>
      <c r="H136" s="823"/>
      <c r="I136" s="52" t="s">
        <v>1150</v>
      </c>
      <c r="J136" s="111"/>
      <c r="K136" s="823"/>
      <c r="L136" s="108"/>
      <c r="M136" s="201"/>
      <c r="N136" s="196"/>
      <c r="O136" s="69"/>
      <c r="P136" s="69"/>
      <c r="AH136" s="11">
        <v>0</v>
      </c>
    </row>
    <row r="137" spans="1:34" s="11" customFormat="1" ht="0.75" hidden="1" customHeight="1">
      <c r="A137" s="34"/>
      <c r="B137" s="34"/>
      <c r="C137" s="4" t="s">
        <v>1158</v>
      </c>
      <c r="D137" s="1431"/>
      <c r="E137" s="1232"/>
      <c r="F137" s="1369"/>
      <c r="G137" s="227"/>
      <c r="H137" s="823"/>
      <c r="I137" s="52"/>
      <c r="J137" s="111"/>
      <c r="K137" s="823"/>
      <c r="L137" s="108"/>
      <c r="M137" s="201"/>
      <c r="N137" s="196"/>
      <c r="O137" s="69"/>
      <c r="P137" s="69"/>
      <c r="AH137" s="11">
        <v>0</v>
      </c>
    </row>
    <row r="138" spans="1:34" s="11" customFormat="1" ht="18.75" hidden="1" customHeight="1">
      <c r="A138" s="34" t="s">
        <v>269</v>
      </c>
      <c r="B138" s="34" t="s">
        <v>270</v>
      </c>
      <c r="C138" s="4"/>
      <c r="D138" s="1431"/>
      <c r="E138" s="1232"/>
      <c r="F138" s="1369" t="str">
        <f>INDEX(PT_DIFFERENTIATION_VTAR,MATCH(A138,PT_DIFFERENTIATION_VTAR_ID,0))</f>
        <v>Тариф на водоотведение</v>
      </c>
      <c r="G138" s="1406" t="str">
        <f>INDEX(PT_DIFFERENTIATION_NTAR,MATCH(B138,PT_DIFFERENTIATION_NTAR_ID,0))</f>
        <v/>
      </c>
      <c r="H138" s="763"/>
      <c r="I138" s="948"/>
      <c r="J138" s="974"/>
      <c r="K138" s="366"/>
      <c r="L138" s="763" t="s">
        <v>310</v>
      </c>
      <c r="M138" s="201"/>
      <c r="N138" s="196"/>
      <c r="O138" s="69"/>
      <c r="P138" s="69"/>
      <c r="AH138" s="11">
        <v>0</v>
      </c>
    </row>
    <row r="139" spans="1:34" s="11" customFormat="1" ht="18.75" hidden="1" customHeight="1">
      <c r="A139" s="34"/>
      <c r="B139" s="34"/>
      <c r="C139" s="4" t="s">
        <v>1151</v>
      </c>
      <c r="D139" s="1431"/>
      <c r="E139" s="1232"/>
      <c r="F139" s="1369"/>
      <c r="G139" s="1406"/>
      <c r="H139" s="823"/>
      <c r="I139" s="52" t="s">
        <v>1150</v>
      </c>
      <c r="J139" s="111"/>
      <c r="K139" s="823"/>
      <c r="L139" s="108"/>
      <c r="M139" s="201"/>
      <c r="N139" s="196"/>
      <c r="O139" s="69"/>
      <c r="P139" s="69"/>
      <c r="AH139" s="11">
        <v>0</v>
      </c>
    </row>
    <row r="140" spans="1:34" s="11" customFormat="1" ht="0.75" hidden="1" customHeight="1">
      <c r="A140" s="34"/>
      <c r="B140" s="34"/>
      <c r="C140" s="4" t="s">
        <v>1158</v>
      </c>
      <c r="D140" s="1431"/>
      <c r="E140" s="1232"/>
      <c r="F140" s="1369"/>
      <c r="G140" s="227"/>
      <c r="H140" s="823"/>
      <c r="I140" s="52"/>
      <c r="J140" s="111"/>
      <c r="K140" s="823"/>
      <c r="L140" s="108"/>
      <c r="M140" s="201"/>
      <c r="N140" s="196"/>
      <c r="O140" s="69"/>
      <c r="P140" s="69"/>
      <c r="AH140" s="11">
        <v>0</v>
      </c>
    </row>
    <row r="141" spans="1:34" s="11" customFormat="1" ht="18.75" hidden="1" customHeight="1">
      <c r="A141" s="34" t="s">
        <v>274</v>
      </c>
      <c r="B141" s="34" t="s">
        <v>275</v>
      </c>
      <c r="C141" s="4"/>
      <c r="D141" s="1431"/>
      <c r="E141" s="1232"/>
      <c r="F141" s="1369" t="str">
        <f>INDEX(PT_DIFFERENTIATION_VTAR,MATCH(A141,PT_DIFFERENTIATION_VTAR_ID,0))</f>
        <v>Тариф на транспортировку сточных вод</v>
      </c>
      <c r="G141" s="1406" t="str">
        <f>INDEX(PT_DIFFERENTIATION_NTAR,MATCH(B141,PT_DIFFERENTIATION_NTAR_ID,0))</f>
        <v/>
      </c>
      <c r="H141" s="763"/>
      <c r="I141" s="948"/>
      <c r="J141" s="974"/>
      <c r="K141" s="366"/>
      <c r="L141" s="763" t="s">
        <v>310</v>
      </c>
      <c r="M141" s="201"/>
      <c r="N141" s="196"/>
      <c r="O141" s="69"/>
      <c r="P141" s="69"/>
      <c r="AH141" s="11">
        <v>0</v>
      </c>
    </row>
    <row r="142" spans="1:34" s="11" customFormat="1" ht="18.75" hidden="1" customHeight="1">
      <c r="A142" s="34"/>
      <c r="B142" s="34"/>
      <c r="C142" s="4" t="s">
        <v>1151</v>
      </c>
      <c r="D142" s="1431"/>
      <c r="E142" s="1232"/>
      <c r="F142" s="1369"/>
      <c r="G142" s="1406"/>
      <c r="H142" s="823"/>
      <c r="I142" s="52" t="s">
        <v>1150</v>
      </c>
      <c r="J142" s="111"/>
      <c r="K142" s="823"/>
      <c r="L142" s="108"/>
      <c r="M142" s="201"/>
      <c r="N142" s="196"/>
      <c r="O142" s="69"/>
      <c r="P142" s="69"/>
      <c r="AH142" s="11">
        <v>0</v>
      </c>
    </row>
    <row r="143" spans="1:34" s="11" customFormat="1" ht="0.75" hidden="1" customHeight="1">
      <c r="A143" s="34"/>
      <c r="B143" s="34"/>
      <c r="C143" s="4" t="s">
        <v>1158</v>
      </c>
      <c r="D143" s="1431"/>
      <c r="E143" s="1232"/>
      <c r="F143" s="1369"/>
      <c r="G143" s="227"/>
      <c r="H143" s="823"/>
      <c r="I143" s="52"/>
      <c r="J143" s="111"/>
      <c r="K143" s="823"/>
      <c r="L143" s="108"/>
      <c r="M143" s="201"/>
      <c r="N143" s="196"/>
      <c r="O143" s="69"/>
      <c r="P143" s="69"/>
      <c r="AH143" s="11">
        <v>0</v>
      </c>
    </row>
    <row r="144" spans="1:34" s="11" customFormat="1" ht="18.75" hidden="1" customHeight="1">
      <c r="A144" s="34" t="s">
        <v>279</v>
      </c>
      <c r="B144" s="34" t="s">
        <v>280</v>
      </c>
      <c r="C144" s="4"/>
      <c r="D144" s="1431"/>
      <c r="E144" s="1232"/>
      <c r="F144" s="1369" t="str">
        <f>INDEX(PT_DIFFERENTIATION_VTAR,MATCH(A144,PT_DIFFERENTIATION_VTAR_ID,0))</f>
        <v>Тариф на подключение (технологическое присоединение) к централизованной системе водоотведения</v>
      </c>
      <c r="G144" s="1406" t="str">
        <f>INDEX(PT_DIFFERENTIATION_NTAR,MATCH(B144,PT_DIFFERENTIATION_NTAR_ID,0))</f>
        <v/>
      </c>
      <c r="H144" s="763"/>
      <c r="I144" s="948"/>
      <c r="J144" s="974"/>
      <c r="K144" s="366"/>
      <c r="L144" s="763" t="s">
        <v>310</v>
      </c>
      <c r="M144" s="201"/>
      <c r="N144" s="196"/>
      <c r="O144" s="69"/>
      <c r="P144" s="69"/>
      <c r="AH144" s="11">
        <v>0</v>
      </c>
    </row>
    <row r="145" spans="1:34" s="11" customFormat="1" ht="18.75" hidden="1" customHeight="1">
      <c r="A145" s="34"/>
      <c r="B145" s="34"/>
      <c r="C145" s="4" t="s">
        <v>1151</v>
      </c>
      <c r="D145" s="1431"/>
      <c r="E145" s="1232"/>
      <c r="F145" s="1369"/>
      <c r="G145" s="1406"/>
      <c r="H145" s="823"/>
      <c r="I145" s="52" t="s">
        <v>1150</v>
      </c>
      <c r="J145" s="111"/>
      <c r="K145" s="823"/>
      <c r="L145" s="108"/>
      <c r="M145" s="201"/>
      <c r="N145" s="196"/>
      <c r="O145" s="69"/>
      <c r="P145" s="69"/>
      <c r="AH145" s="11">
        <v>0</v>
      </c>
    </row>
    <row r="146" spans="1:34" s="11" customFormat="1" ht="1.1499999999999999" customHeight="1">
      <c r="A146" s="34"/>
      <c r="B146" s="34"/>
      <c r="C146" s="4" t="s">
        <v>1158</v>
      </c>
      <c r="D146" s="1431"/>
      <c r="E146" s="1232"/>
      <c r="F146" s="1369"/>
      <c r="G146" s="227"/>
      <c r="H146" s="823"/>
      <c r="I146" s="52"/>
      <c r="J146" s="111"/>
      <c r="K146" s="823"/>
      <c r="L146" s="108"/>
      <c r="M146" s="201"/>
      <c r="N146" s="196"/>
      <c r="O146" s="69"/>
      <c r="P146" s="69"/>
      <c r="AH146" s="11">
        <v>1</v>
      </c>
    </row>
    <row r="147" spans="1:34" ht="19.899999999999999" customHeight="1">
      <c r="A147" s="34"/>
      <c r="B147" s="34"/>
      <c r="D147" s="28"/>
      <c r="E147" s="64" t="s">
        <v>91</v>
      </c>
      <c r="F147" s="143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1430"/>
      <c r="H147" s="1430"/>
      <c r="I147" s="1430"/>
      <c r="J147" s="1430"/>
      <c r="K147" s="1430"/>
      <c r="L147" s="1430"/>
      <c r="M147" s="114"/>
      <c r="N147" s="196"/>
      <c r="AH147" s="11">
        <v>19</v>
      </c>
    </row>
    <row r="148" spans="1:34" s="11" customFormat="1" ht="60.75" hidden="1" customHeight="1">
      <c r="A148" s="34" t="s">
        <v>161</v>
      </c>
      <c r="B148" s="34" t="s">
        <v>162</v>
      </c>
      <c r="C148" s="4"/>
      <c r="D148" s="1431"/>
      <c r="E148" s="1232"/>
      <c r="F148" s="136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06" t="str">
        <f>INDEX(PT_DIFFERENTIATION_NTAR,MATCH(B148,PT_DIFFERENTIATION_NTAR_ID,0))</f>
        <v/>
      </c>
      <c r="H148" s="763"/>
      <c r="I148" s="948"/>
      <c r="J148" s="974"/>
      <c r="K148" s="366"/>
      <c r="L148" s="763" t="s">
        <v>310</v>
      </c>
      <c r="M148" s="11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1151</v>
      </c>
      <c r="D149" s="1431"/>
      <c r="E149" s="1232"/>
      <c r="F149" s="1369"/>
      <c r="G149" s="1406"/>
      <c r="H149" s="823"/>
      <c r="I149" s="52" t="s">
        <v>1150</v>
      </c>
      <c r="J149" s="111"/>
      <c r="K149" s="823"/>
      <c r="L149" s="108"/>
      <c r="M149" s="1193"/>
      <c r="N149" s="196"/>
      <c r="O149" s="69"/>
      <c r="P149" s="69"/>
      <c r="AH149" s="11">
        <v>0</v>
      </c>
    </row>
    <row r="150" spans="1:34" s="11" customFormat="1" ht="0.75" hidden="1" customHeight="1">
      <c r="A150" s="34"/>
      <c r="B150" s="34"/>
      <c r="C150" s="4" t="s">
        <v>1158</v>
      </c>
      <c r="D150" s="1431"/>
      <c r="E150" s="1232"/>
      <c r="F150" s="1369"/>
      <c r="G150" s="227"/>
      <c r="H150" s="823"/>
      <c r="I150" s="52"/>
      <c r="J150" s="111"/>
      <c r="K150" s="823"/>
      <c r="L150" s="108"/>
      <c r="M150" s="1193"/>
      <c r="N150" s="196"/>
      <c r="O150" s="69"/>
      <c r="P150" s="69"/>
      <c r="AH150" s="11">
        <v>0</v>
      </c>
    </row>
    <row r="151" spans="1:34" s="11" customFormat="1" ht="45" hidden="1" customHeight="1">
      <c r="A151" s="34" t="s">
        <v>166</v>
      </c>
      <c r="B151" s="34" t="s">
        <v>167</v>
      </c>
      <c r="C151" s="4"/>
      <c r="D151" s="1431"/>
      <c r="E151" s="1232"/>
      <c r="F151" s="1369" t="str">
        <f>INDEX(PT_DIFFERENTIATION_VTAR,MATCH(A151,PT_DIFFERENTIATION_VTAR_ID,0))</f>
        <v/>
      </c>
      <c r="G151" s="1406" t="str">
        <f>INDEX(PT_DIFFERENTIATION_NTAR,MATCH(B151,PT_DIFFERENTIATION_NTAR_ID,0))</f>
        <v/>
      </c>
      <c r="H151" s="763"/>
      <c r="I151" s="948"/>
      <c r="J151" s="974"/>
      <c r="K151" s="366"/>
      <c r="L151" s="763" t="s">
        <v>310</v>
      </c>
      <c r="M151" s="1194"/>
      <c r="N151" s="196"/>
      <c r="O151" s="69"/>
      <c r="P151" s="69"/>
      <c r="AH151" s="11">
        <v>0</v>
      </c>
    </row>
    <row r="152" spans="1:34" s="11" customFormat="1" ht="18.75" hidden="1" customHeight="1">
      <c r="A152" s="34"/>
      <c r="B152" s="34"/>
      <c r="C152" s="4" t="s">
        <v>1151</v>
      </c>
      <c r="D152" s="1431"/>
      <c r="E152" s="1232"/>
      <c r="F152" s="1369"/>
      <c r="G152" s="1406"/>
      <c r="H152" s="823"/>
      <c r="I152" s="52" t="s">
        <v>1150</v>
      </c>
      <c r="J152" s="111"/>
      <c r="K152" s="823"/>
      <c r="L152" s="108"/>
      <c r="M152" s="1006"/>
      <c r="N152" s="196"/>
      <c r="O152" s="69"/>
      <c r="P152" s="69"/>
      <c r="AH152" s="11">
        <v>0</v>
      </c>
    </row>
    <row r="153" spans="1:34" s="11" customFormat="1" ht="0.75" hidden="1" customHeight="1">
      <c r="A153" s="34"/>
      <c r="B153" s="34"/>
      <c r="C153" s="4" t="s">
        <v>1158</v>
      </c>
      <c r="D153" s="1431"/>
      <c r="E153" s="1232"/>
      <c r="F153" s="1369"/>
      <c r="G153" s="227"/>
      <c r="H153" s="823"/>
      <c r="I153" s="52"/>
      <c r="J153" s="111"/>
      <c r="K153" s="823"/>
      <c r="L153" s="108"/>
      <c r="M153" s="201"/>
      <c r="N153" s="196"/>
      <c r="O153" s="69"/>
      <c r="P153" s="69"/>
      <c r="AH153" s="11">
        <v>0</v>
      </c>
    </row>
    <row r="154" spans="1:34" s="11" customFormat="1" ht="45" hidden="1" customHeight="1">
      <c r="A154" s="34" t="s">
        <v>173</v>
      </c>
      <c r="B154" s="34" t="s">
        <v>174</v>
      </c>
      <c r="C154" s="4"/>
      <c r="D154" s="1431"/>
      <c r="E154" s="1232"/>
      <c r="F154" s="136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06" t="str">
        <f>INDEX(PT_DIFFERENTIATION_NTAR,MATCH(B154,PT_DIFFERENTIATION_NTAR_ID,0))</f>
        <v/>
      </c>
      <c r="H154" s="763"/>
      <c r="I154" s="948"/>
      <c r="J154" s="974"/>
      <c r="K154" s="366"/>
      <c r="L154" s="763" t="s">
        <v>310</v>
      </c>
      <c r="M154" s="201"/>
      <c r="N154" s="196"/>
      <c r="O154" s="69"/>
      <c r="P154" s="69"/>
      <c r="AH154" s="11">
        <v>0</v>
      </c>
    </row>
    <row r="155" spans="1:34" s="11" customFormat="1" ht="18.75" hidden="1" customHeight="1">
      <c r="A155" s="34"/>
      <c r="B155" s="34"/>
      <c r="C155" s="4" t="s">
        <v>1151</v>
      </c>
      <c r="D155" s="1431"/>
      <c r="E155" s="1232"/>
      <c r="F155" s="1369"/>
      <c r="G155" s="1406"/>
      <c r="H155" s="823"/>
      <c r="I155" s="52" t="s">
        <v>1150</v>
      </c>
      <c r="J155" s="111"/>
      <c r="K155" s="823"/>
      <c r="L155" s="108"/>
      <c r="M155" s="201"/>
      <c r="N155" s="196"/>
      <c r="O155" s="69"/>
      <c r="P155" s="69"/>
      <c r="AH155" s="11">
        <v>0</v>
      </c>
    </row>
    <row r="156" spans="1:34" s="11" customFormat="1" ht="0.75" hidden="1" customHeight="1">
      <c r="A156" s="34"/>
      <c r="B156" s="34"/>
      <c r="C156" s="4" t="s">
        <v>1158</v>
      </c>
      <c r="D156" s="1431"/>
      <c r="E156" s="1232"/>
      <c r="F156" s="1369"/>
      <c r="G156" s="227"/>
      <c r="H156" s="823"/>
      <c r="I156" s="52"/>
      <c r="J156" s="111"/>
      <c r="K156" s="823"/>
      <c r="L156" s="108"/>
      <c r="M156" s="201"/>
      <c r="N156" s="196"/>
      <c r="O156" s="69"/>
      <c r="P156" s="69"/>
      <c r="AH156" s="11">
        <v>0</v>
      </c>
    </row>
    <row r="157" spans="1:34" s="11" customFormat="1" ht="45" hidden="1" customHeight="1">
      <c r="A157" s="34" t="s">
        <v>179</v>
      </c>
      <c r="B157" s="34" t="s">
        <v>180</v>
      </c>
      <c r="C157" s="4"/>
      <c r="D157" s="1431"/>
      <c r="E157" s="1232"/>
      <c r="F157" s="136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06" t="str">
        <f>INDEX(PT_DIFFERENTIATION_NTAR,MATCH(B157,PT_DIFFERENTIATION_NTAR_ID,0))</f>
        <v/>
      </c>
      <c r="H157" s="763"/>
      <c r="I157" s="948"/>
      <c r="J157" s="974"/>
      <c r="K157" s="366"/>
      <c r="L157" s="763" t="s">
        <v>310</v>
      </c>
      <c r="M157" s="201"/>
      <c r="N157" s="196"/>
      <c r="O157" s="69"/>
      <c r="P157" s="69"/>
      <c r="AH157" s="11">
        <v>0</v>
      </c>
    </row>
    <row r="158" spans="1:34" s="11" customFormat="1" ht="18.75" hidden="1" customHeight="1">
      <c r="A158" s="34"/>
      <c r="B158" s="34"/>
      <c r="C158" s="4" t="s">
        <v>1151</v>
      </c>
      <c r="D158" s="1431"/>
      <c r="E158" s="1232"/>
      <c r="F158" s="1369"/>
      <c r="G158" s="1406"/>
      <c r="H158" s="823"/>
      <c r="I158" s="52" t="s">
        <v>1150</v>
      </c>
      <c r="J158" s="111"/>
      <c r="K158" s="823"/>
      <c r="L158" s="108"/>
      <c r="M158" s="201"/>
      <c r="N158" s="196"/>
      <c r="O158" s="69"/>
      <c r="P158" s="69"/>
      <c r="AH158" s="11">
        <v>0</v>
      </c>
    </row>
    <row r="159" spans="1:34" s="11" customFormat="1" ht="0.75" hidden="1" customHeight="1">
      <c r="A159" s="34"/>
      <c r="B159" s="34"/>
      <c r="C159" s="4" t="s">
        <v>1158</v>
      </c>
      <c r="D159" s="1431"/>
      <c r="E159" s="1232"/>
      <c r="F159" s="1369"/>
      <c r="G159" s="227"/>
      <c r="H159" s="823"/>
      <c r="I159" s="52"/>
      <c r="J159" s="111"/>
      <c r="K159" s="823"/>
      <c r="L159" s="108"/>
      <c r="M159" s="201"/>
      <c r="N159" s="196"/>
      <c r="O159" s="69"/>
      <c r="P159" s="69"/>
      <c r="AH159" s="11">
        <v>0</v>
      </c>
    </row>
    <row r="160" spans="1:34" s="11" customFormat="1" ht="18.75" hidden="1" customHeight="1">
      <c r="A160" s="34" t="s">
        <v>185</v>
      </c>
      <c r="B160" s="34" t="s">
        <v>186</v>
      </c>
      <c r="C160" s="4"/>
      <c r="D160" s="1431"/>
      <c r="E160" s="1232"/>
      <c r="F160" s="1369" t="str">
        <f>INDEX(PT_DIFFERENTIATION_VTAR,MATCH(A160,PT_DIFFERENTIATION_VTAR_ID,0))</f>
        <v>Тарифы на услуги по передаче тепловой энергии</v>
      </c>
      <c r="G160" s="1406" t="str">
        <f>INDEX(PT_DIFFERENTIATION_NTAR,MATCH(B160,PT_DIFFERENTIATION_NTAR_ID,0))</f>
        <v/>
      </c>
      <c r="H160" s="763"/>
      <c r="I160" s="948"/>
      <c r="J160" s="974"/>
      <c r="K160" s="366"/>
      <c r="L160" s="763" t="s">
        <v>310</v>
      </c>
      <c r="M160" s="201"/>
      <c r="N160" s="196"/>
      <c r="O160" s="69"/>
      <c r="P160" s="69"/>
      <c r="AH160" s="11">
        <v>0</v>
      </c>
    </row>
    <row r="161" spans="1:34" s="11" customFormat="1" ht="18.75" hidden="1" customHeight="1">
      <c r="A161" s="34"/>
      <c r="B161" s="34"/>
      <c r="C161" s="4" t="s">
        <v>1151</v>
      </c>
      <c r="D161" s="1431"/>
      <c r="E161" s="1232"/>
      <c r="F161" s="1369"/>
      <c r="G161" s="1406"/>
      <c r="H161" s="823"/>
      <c r="I161" s="52" t="s">
        <v>1150</v>
      </c>
      <c r="J161" s="111"/>
      <c r="K161" s="823"/>
      <c r="L161" s="108"/>
      <c r="M161" s="201"/>
      <c r="N161" s="196"/>
      <c r="O161" s="69"/>
      <c r="P161" s="69"/>
      <c r="AH161" s="11">
        <v>0</v>
      </c>
    </row>
    <row r="162" spans="1:34" s="11" customFormat="1" ht="0.75" hidden="1" customHeight="1">
      <c r="A162" s="34"/>
      <c r="B162" s="34"/>
      <c r="C162" s="4" t="s">
        <v>1158</v>
      </c>
      <c r="D162" s="1431"/>
      <c r="E162" s="1232"/>
      <c r="F162" s="1369"/>
      <c r="G162" s="227"/>
      <c r="H162" s="823"/>
      <c r="I162" s="52"/>
      <c r="J162" s="111"/>
      <c r="K162" s="823"/>
      <c r="L162" s="108"/>
      <c r="M162" s="201"/>
      <c r="N162" s="196"/>
      <c r="O162" s="69"/>
      <c r="P162" s="69"/>
      <c r="AH162" s="11">
        <v>0</v>
      </c>
    </row>
    <row r="163" spans="1:34" s="11" customFormat="1" ht="18.75" hidden="1" customHeight="1">
      <c r="A163" s="34" t="s">
        <v>191</v>
      </c>
      <c r="B163" s="34" t="s">
        <v>192</v>
      </c>
      <c r="C163" s="4"/>
      <c r="D163" s="1431"/>
      <c r="E163" s="1232"/>
      <c r="F163" s="1369" t="str">
        <f>INDEX(PT_DIFFERENTIATION_VTAR,MATCH(A163,PT_DIFFERENTIATION_VTAR_ID,0))</f>
        <v>Тарифы на услуги по передаче теплоносителя</v>
      </c>
      <c r="G163" s="1406" t="str">
        <f>INDEX(PT_DIFFERENTIATION_NTAR,MATCH(B163,PT_DIFFERENTIATION_NTAR_ID,0))</f>
        <v/>
      </c>
      <c r="H163" s="763"/>
      <c r="I163" s="948"/>
      <c r="J163" s="974"/>
      <c r="K163" s="366"/>
      <c r="L163" s="763" t="s">
        <v>310</v>
      </c>
      <c r="M163" s="201"/>
      <c r="N163" s="196"/>
      <c r="O163" s="69"/>
      <c r="P163" s="69"/>
      <c r="AH163" s="11">
        <v>0</v>
      </c>
    </row>
    <row r="164" spans="1:34" s="11" customFormat="1" ht="18.75" hidden="1" customHeight="1">
      <c r="A164" s="34"/>
      <c r="B164" s="34"/>
      <c r="C164" s="4" t="s">
        <v>1151</v>
      </c>
      <c r="D164" s="1431"/>
      <c r="E164" s="1232"/>
      <c r="F164" s="1369"/>
      <c r="G164" s="1406"/>
      <c r="H164" s="823"/>
      <c r="I164" s="52" t="s">
        <v>1150</v>
      </c>
      <c r="J164" s="111"/>
      <c r="K164" s="823"/>
      <c r="L164" s="108"/>
      <c r="M164" s="201"/>
      <c r="N164" s="196"/>
      <c r="O164" s="69"/>
      <c r="P164" s="69"/>
      <c r="AH164" s="11">
        <v>0</v>
      </c>
    </row>
    <row r="165" spans="1:34" s="11" customFormat="1" ht="0.75" hidden="1" customHeight="1">
      <c r="A165" s="34"/>
      <c r="B165" s="34"/>
      <c r="C165" s="4" t="s">
        <v>1158</v>
      </c>
      <c r="D165" s="1431"/>
      <c r="E165" s="1232"/>
      <c r="F165" s="1369"/>
      <c r="G165" s="227"/>
      <c r="H165" s="823"/>
      <c r="I165" s="52"/>
      <c r="J165" s="111"/>
      <c r="K165" s="823"/>
      <c r="L165" s="108"/>
      <c r="M165" s="201"/>
      <c r="N165" s="196"/>
      <c r="O165" s="69"/>
      <c r="P165" s="69"/>
      <c r="AH165" s="11">
        <v>0</v>
      </c>
    </row>
    <row r="166" spans="1:34" s="11" customFormat="1" ht="18.75" hidden="1" customHeight="1">
      <c r="A166" s="34" t="s">
        <v>197</v>
      </c>
      <c r="B166" s="34" t="s">
        <v>198</v>
      </c>
      <c r="C166" s="4"/>
      <c r="D166" s="1431"/>
      <c r="E166" s="1232"/>
      <c r="F166" s="136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06" t="str">
        <f>INDEX(PT_DIFFERENTIATION_NTAR,MATCH(B166,PT_DIFFERENTIATION_NTAR_ID,0))</f>
        <v/>
      </c>
      <c r="H166" s="763"/>
      <c r="I166" s="948"/>
      <c r="J166" s="974"/>
      <c r="K166" s="366"/>
      <c r="L166" s="763" t="s">
        <v>310</v>
      </c>
      <c r="M166" s="201"/>
      <c r="N166" s="196"/>
      <c r="O166" s="69"/>
      <c r="P166" s="69"/>
      <c r="AH166" s="11">
        <v>0</v>
      </c>
    </row>
    <row r="167" spans="1:34" s="11" customFormat="1" ht="18.75" hidden="1" customHeight="1">
      <c r="A167" s="34"/>
      <c r="B167" s="34"/>
      <c r="C167" s="4" t="s">
        <v>1151</v>
      </c>
      <c r="D167" s="1431"/>
      <c r="E167" s="1232"/>
      <c r="F167" s="1369"/>
      <c r="G167" s="1406"/>
      <c r="H167" s="823"/>
      <c r="I167" s="52" t="s">
        <v>1150</v>
      </c>
      <c r="J167" s="111"/>
      <c r="K167" s="823"/>
      <c r="L167" s="108"/>
      <c r="M167" s="201"/>
      <c r="N167" s="196"/>
      <c r="O167" s="69"/>
      <c r="P167" s="69"/>
      <c r="AH167" s="11">
        <v>0</v>
      </c>
    </row>
    <row r="168" spans="1:34" s="11" customFormat="1" ht="0.75" hidden="1" customHeight="1">
      <c r="A168" s="34"/>
      <c r="B168" s="34"/>
      <c r="C168" s="4" t="s">
        <v>1158</v>
      </c>
      <c r="D168" s="1431"/>
      <c r="E168" s="1232"/>
      <c r="F168" s="1369"/>
      <c r="G168" s="227"/>
      <c r="H168" s="823"/>
      <c r="I168" s="52"/>
      <c r="J168" s="111"/>
      <c r="K168" s="823"/>
      <c r="L168" s="108"/>
      <c r="M168" s="201"/>
      <c r="N168" s="196"/>
      <c r="O168" s="69"/>
      <c r="P168" s="69"/>
      <c r="AH168" s="11">
        <v>0</v>
      </c>
    </row>
    <row r="169" spans="1:34" s="11" customFormat="1" ht="18.75" hidden="1" customHeight="1">
      <c r="A169" s="34" t="s">
        <v>203</v>
      </c>
      <c r="B169" s="34" t="s">
        <v>204</v>
      </c>
      <c r="C169" s="4"/>
      <c r="D169" s="1431"/>
      <c r="E169" s="1232"/>
      <c r="F169" s="1369" t="str">
        <f>INDEX(PT_DIFFERENTIATION_VTAR,MATCH(A169,PT_DIFFERENTIATION_VTAR_ID,0))</f>
        <v>Плата за подключение (технологическое присоединение) к системе теплоснабжения</v>
      </c>
      <c r="G169" s="1406" t="str">
        <f>INDEX(PT_DIFFERENTIATION_NTAR,MATCH(B169,PT_DIFFERENTIATION_NTAR_ID,0))</f>
        <v/>
      </c>
      <c r="H169" s="763"/>
      <c r="I169" s="948"/>
      <c r="J169" s="974"/>
      <c r="K169" s="366"/>
      <c r="L169" s="763" t="s">
        <v>310</v>
      </c>
      <c r="M169" s="201"/>
      <c r="N169" s="196"/>
      <c r="O169" s="69"/>
      <c r="P169" s="69"/>
      <c r="AH169" s="11">
        <v>0</v>
      </c>
    </row>
    <row r="170" spans="1:34" s="11" customFormat="1" ht="18.75" hidden="1" customHeight="1">
      <c r="A170" s="34"/>
      <c r="B170" s="34"/>
      <c r="C170" s="4" t="s">
        <v>1151</v>
      </c>
      <c r="D170" s="1431"/>
      <c r="E170" s="1232"/>
      <c r="F170" s="1369"/>
      <c r="G170" s="1406"/>
      <c r="H170" s="823"/>
      <c r="I170" s="52" t="s">
        <v>1150</v>
      </c>
      <c r="J170" s="111"/>
      <c r="K170" s="823"/>
      <c r="L170" s="108"/>
      <c r="M170" s="201"/>
      <c r="N170" s="196"/>
      <c r="O170" s="69"/>
      <c r="P170" s="69"/>
      <c r="AH170" s="11">
        <v>0</v>
      </c>
    </row>
    <row r="171" spans="1:34" s="11" customFormat="1" ht="0.75" hidden="1" customHeight="1">
      <c r="A171" s="34"/>
      <c r="B171" s="34"/>
      <c r="C171" s="4" t="s">
        <v>1158</v>
      </c>
      <c r="D171" s="1431"/>
      <c r="E171" s="1232"/>
      <c r="F171" s="1369"/>
      <c r="G171" s="227"/>
      <c r="H171" s="823"/>
      <c r="I171" s="52"/>
      <c r="J171" s="111"/>
      <c r="K171" s="823"/>
      <c r="L171" s="108"/>
      <c r="M171" s="201"/>
      <c r="N171" s="196"/>
      <c r="O171" s="69"/>
      <c r="P171" s="69"/>
      <c r="AH171" s="11">
        <v>0</v>
      </c>
    </row>
    <row r="172" spans="1:34" s="11" customFormat="1" ht="18.75" hidden="1" customHeight="1">
      <c r="A172" s="34" t="s">
        <v>209</v>
      </c>
      <c r="B172" s="34" t="s">
        <v>210</v>
      </c>
      <c r="C172" s="4"/>
      <c r="D172" s="1431"/>
      <c r="E172" s="1232"/>
      <c r="F172" s="1369" t="str">
        <f>INDEX(PT_DIFFERENTIATION_VTAR,MATCH(A172,PT_DIFFERENTIATION_VTAR_ID,0))</f>
        <v>Плата за подключение (технологическое присоединение) к системе теплоснабжения (индивидуальная)</v>
      </c>
      <c r="G172" s="1406" t="str">
        <f>INDEX(PT_DIFFERENTIATION_NTAR,MATCH(B172,PT_DIFFERENTIATION_NTAR_ID,0))</f>
        <v/>
      </c>
      <c r="H172" s="763"/>
      <c r="I172" s="948"/>
      <c r="J172" s="974"/>
      <c r="K172" s="366"/>
      <c r="L172" s="763" t="s">
        <v>310</v>
      </c>
      <c r="M172" s="201"/>
      <c r="N172" s="196"/>
      <c r="O172" s="69"/>
      <c r="P172" s="69"/>
      <c r="AH172" s="11">
        <v>0</v>
      </c>
    </row>
    <row r="173" spans="1:34" s="11" customFormat="1" ht="18.75" hidden="1" customHeight="1">
      <c r="A173" s="34"/>
      <c r="B173" s="34"/>
      <c r="C173" s="4" t="s">
        <v>1151</v>
      </c>
      <c r="D173" s="1431"/>
      <c r="E173" s="1232"/>
      <c r="F173" s="1369"/>
      <c r="G173" s="1406"/>
      <c r="H173" s="823"/>
      <c r="I173" s="52" t="s">
        <v>1150</v>
      </c>
      <c r="J173" s="111"/>
      <c r="K173" s="823"/>
      <c r="L173" s="108"/>
      <c r="M173" s="201"/>
      <c r="N173" s="196"/>
      <c r="O173" s="69"/>
      <c r="P173" s="69"/>
      <c r="AH173" s="11">
        <v>0</v>
      </c>
    </row>
    <row r="174" spans="1:34" s="11" customFormat="1" ht="0.75" hidden="1" customHeight="1">
      <c r="A174" s="34"/>
      <c r="B174" s="34"/>
      <c r="C174" s="4" t="s">
        <v>1158</v>
      </c>
      <c r="D174" s="1431"/>
      <c r="E174" s="1232"/>
      <c r="F174" s="1369"/>
      <c r="G174" s="227"/>
      <c r="H174" s="823"/>
      <c r="I174" s="52"/>
      <c r="J174" s="111"/>
      <c r="K174" s="823"/>
      <c r="L174" s="108"/>
      <c r="M174" s="201"/>
      <c r="N174" s="196"/>
      <c r="O174" s="69"/>
      <c r="P174" s="69"/>
      <c r="AH174" s="11">
        <v>0</v>
      </c>
    </row>
    <row r="175" spans="1:34" s="11" customFormat="1" ht="18.75" hidden="1" customHeight="1">
      <c r="A175" s="34" t="s">
        <v>229</v>
      </c>
      <c r="B175" s="34" t="s">
        <v>230</v>
      </c>
      <c r="C175" s="4"/>
      <c r="D175" s="1431"/>
      <c r="E175" s="1232"/>
      <c r="F175" s="1369" t="str">
        <f>INDEX(PT_DIFFERENTIATION_VTAR,MATCH(A175,PT_DIFFERENTIATION_VTAR_ID,0))</f>
        <v>Тариф на питьевую воду (питьевое водоснабжение)</v>
      </c>
      <c r="G175" s="1406" t="str">
        <f>INDEX(PT_DIFFERENTIATION_NTAR,MATCH(B175,PT_DIFFERENTIATION_NTAR_ID,0))</f>
        <v/>
      </c>
      <c r="H175" s="763"/>
      <c r="I175" s="948"/>
      <c r="J175" s="974"/>
      <c r="K175" s="366"/>
      <c r="L175" s="763" t="s">
        <v>310</v>
      </c>
      <c r="M175" s="201"/>
      <c r="N175" s="196"/>
      <c r="O175" s="69"/>
      <c r="P175" s="69"/>
      <c r="AH175" s="11">
        <v>0</v>
      </c>
    </row>
    <row r="176" spans="1:34" s="11" customFormat="1" ht="18.75" hidden="1" customHeight="1">
      <c r="A176" s="34"/>
      <c r="B176" s="34"/>
      <c r="C176" s="4" t="s">
        <v>1151</v>
      </c>
      <c r="D176" s="1431"/>
      <c r="E176" s="1232"/>
      <c r="F176" s="1369"/>
      <c r="G176" s="1406"/>
      <c r="H176" s="823"/>
      <c r="I176" s="52" t="s">
        <v>1150</v>
      </c>
      <c r="J176" s="111"/>
      <c r="K176" s="823"/>
      <c r="L176" s="108"/>
      <c r="M176" s="201"/>
      <c r="N176" s="196"/>
      <c r="O176" s="69"/>
      <c r="P176" s="69"/>
      <c r="AH176" s="11">
        <v>0</v>
      </c>
    </row>
    <row r="177" spans="1:34" s="11" customFormat="1" ht="0.75" hidden="1" customHeight="1">
      <c r="A177" s="34"/>
      <c r="B177" s="34"/>
      <c r="C177" s="4" t="s">
        <v>1158</v>
      </c>
      <c r="D177" s="1431"/>
      <c r="E177" s="1232"/>
      <c r="F177" s="1369"/>
      <c r="G177" s="227"/>
      <c r="H177" s="823"/>
      <c r="I177" s="52"/>
      <c r="J177" s="111"/>
      <c r="K177" s="823"/>
      <c r="L177" s="108"/>
      <c r="M177" s="201"/>
      <c r="N177" s="196"/>
      <c r="O177" s="69"/>
      <c r="P177" s="69"/>
      <c r="AH177" s="11">
        <v>0</v>
      </c>
    </row>
    <row r="178" spans="1:34" s="11" customFormat="1" ht="18.75" hidden="1" customHeight="1">
      <c r="A178" s="34" t="s">
        <v>234</v>
      </c>
      <c r="B178" s="34" t="s">
        <v>235</v>
      </c>
      <c r="C178" s="4"/>
      <c r="D178" s="1431"/>
      <c r="E178" s="1232"/>
      <c r="F178" s="1369" t="str">
        <f>INDEX(PT_DIFFERENTIATION_VTAR,MATCH(A178,PT_DIFFERENTIATION_VTAR_ID,0))</f>
        <v>Тариф на техническую воду</v>
      </c>
      <c r="G178" s="1406" t="str">
        <f>INDEX(PT_DIFFERENTIATION_NTAR,MATCH(B178,PT_DIFFERENTIATION_NTAR_ID,0))</f>
        <v/>
      </c>
      <c r="H178" s="763"/>
      <c r="I178" s="948"/>
      <c r="J178" s="974"/>
      <c r="K178" s="366"/>
      <c r="L178" s="763" t="s">
        <v>310</v>
      </c>
      <c r="M178" s="201"/>
      <c r="N178" s="196"/>
      <c r="O178" s="69"/>
      <c r="P178" s="69"/>
      <c r="AH178" s="11">
        <v>0</v>
      </c>
    </row>
    <row r="179" spans="1:34" s="11" customFormat="1" ht="18.75" hidden="1" customHeight="1">
      <c r="A179" s="34"/>
      <c r="B179" s="34"/>
      <c r="C179" s="4" t="s">
        <v>1151</v>
      </c>
      <c r="D179" s="1431"/>
      <c r="E179" s="1232"/>
      <c r="F179" s="1369"/>
      <c r="G179" s="1406"/>
      <c r="H179" s="823"/>
      <c r="I179" s="52" t="s">
        <v>1150</v>
      </c>
      <c r="J179" s="111"/>
      <c r="K179" s="823"/>
      <c r="L179" s="108"/>
      <c r="M179" s="201"/>
      <c r="N179" s="196"/>
      <c r="O179" s="69"/>
      <c r="P179" s="69"/>
      <c r="AH179" s="11">
        <v>0</v>
      </c>
    </row>
    <row r="180" spans="1:34" s="11" customFormat="1" ht="0.75" hidden="1" customHeight="1">
      <c r="A180" s="34"/>
      <c r="B180" s="34"/>
      <c r="C180" s="4" t="s">
        <v>1158</v>
      </c>
      <c r="D180" s="1431"/>
      <c r="E180" s="1232"/>
      <c r="F180" s="1369"/>
      <c r="G180" s="227"/>
      <c r="H180" s="823"/>
      <c r="I180" s="52"/>
      <c r="J180" s="111"/>
      <c r="K180" s="823"/>
      <c r="L180" s="108"/>
      <c r="M180" s="201"/>
      <c r="N180" s="196"/>
      <c r="O180" s="69"/>
      <c r="P180" s="69"/>
      <c r="AH180" s="11">
        <v>0</v>
      </c>
    </row>
    <row r="181" spans="1:34" s="11" customFormat="1" ht="18.75" hidden="1" customHeight="1">
      <c r="A181" s="34" t="s">
        <v>239</v>
      </c>
      <c r="B181" s="34" t="s">
        <v>240</v>
      </c>
      <c r="C181" s="4"/>
      <c r="D181" s="1431"/>
      <c r="E181" s="1232"/>
      <c r="F181" s="1369" t="str">
        <f>INDEX(PT_DIFFERENTIATION_VTAR,MATCH(A181,PT_DIFFERENTIATION_VTAR_ID,0))</f>
        <v>Тариф на транспортировку воды</v>
      </c>
      <c r="G181" s="1406" t="str">
        <f>INDEX(PT_DIFFERENTIATION_NTAR,MATCH(B181,PT_DIFFERENTIATION_NTAR_ID,0))</f>
        <v/>
      </c>
      <c r="H181" s="763"/>
      <c r="I181" s="948"/>
      <c r="J181" s="974"/>
      <c r="K181" s="366"/>
      <c r="L181" s="763" t="s">
        <v>310</v>
      </c>
      <c r="M181" s="201"/>
      <c r="N181" s="196"/>
      <c r="O181" s="69"/>
      <c r="P181" s="69"/>
      <c r="AH181" s="11">
        <v>0</v>
      </c>
    </row>
    <row r="182" spans="1:34" s="11" customFormat="1" ht="18.75" hidden="1" customHeight="1">
      <c r="A182" s="34"/>
      <c r="B182" s="34"/>
      <c r="C182" s="4" t="s">
        <v>1151</v>
      </c>
      <c r="D182" s="1431"/>
      <c r="E182" s="1232"/>
      <c r="F182" s="1369"/>
      <c r="G182" s="1406"/>
      <c r="H182" s="823"/>
      <c r="I182" s="52" t="s">
        <v>1150</v>
      </c>
      <c r="J182" s="111"/>
      <c r="K182" s="823"/>
      <c r="L182" s="108"/>
      <c r="M182" s="201"/>
      <c r="N182" s="196"/>
      <c r="O182" s="69"/>
      <c r="P182" s="69"/>
      <c r="AH182" s="11">
        <v>0</v>
      </c>
    </row>
    <row r="183" spans="1:34" s="11" customFormat="1" ht="0.75" hidden="1" customHeight="1">
      <c r="A183" s="34"/>
      <c r="B183" s="34"/>
      <c r="C183" s="4" t="s">
        <v>1158</v>
      </c>
      <c r="D183" s="1431"/>
      <c r="E183" s="1232"/>
      <c r="F183" s="1369"/>
      <c r="G183" s="227"/>
      <c r="H183" s="823"/>
      <c r="I183" s="52"/>
      <c r="J183" s="111"/>
      <c r="K183" s="823"/>
      <c r="L183" s="108"/>
      <c r="M183" s="201"/>
      <c r="N183" s="196"/>
      <c r="O183" s="69"/>
      <c r="P183" s="69"/>
      <c r="AH183" s="11">
        <v>0</v>
      </c>
    </row>
    <row r="184" spans="1:34" s="11" customFormat="1" ht="18.75" hidden="1" customHeight="1">
      <c r="A184" s="34" t="s">
        <v>244</v>
      </c>
      <c r="B184" s="34" t="s">
        <v>245</v>
      </c>
      <c r="C184" s="4"/>
      <c r="D184" s="1431"/>
      <c r="E184" s="1232"/>
      <c r="F184" s="1369" t="str">
        <f>INDEX(PT_DIFFERENTIATION_VTAR,MATCH(A184,PT_DIFFERENTIATION_VTAR_ID,0))</f>
        <v>Тариф на подвоз воды</v>
      </c>
      <c r="G184" s="1406" t="str">
        <f>INDEX(PT_DIFFERENTIATION_NTAR,MATCH(B184,PT_DIFFERENTIATION_NTAR_ID,0))</f>
        <v/>
      </c>
      <c r="H184" s="763"/>
      <c r="I184" s="948"/>
      <c r="J184" s="974"/>
      <c r="K184" s="366"/>
      <c r="L184" s="763" t="s">
        <v>310</v>
      </c>
      <c r="M184" s="201"/>
      <c r="N184" s="196"/>
      <c r="O184" s="69"/>
      <c r="P184" s="69"/>
      <c r="AH184" s="11">
        <v>0</v>
      </c>
    </row>
    <row r="185" spans="1:34" s="11" customFormat="1" ht="18.75" hidden="1" customHeight="1">
      <c r="A185" s="34"/>
      <c r="B185" s="34"/>
      <c r="C185" s="4" t="s">
        <v>1151</v>
      </c>
      <c r="D185" s="1431"/>
      <c r="E185" s="1232"/>
      <c r="F185" s="1369"/>
      <c r="G185" s="1406"/>
      <c r="H185" s="823"/>
      <c r="I185" s="52" t="s">
        <v>1150</v>
      </c>
      <c r="J185" s="111"/>
      <c r="K185" s="823"/>
      <c r="L185" s="108"/>
      <c r="M185" s="201"/>
      <c r="N185" s="196"/>
      <c r="O185" s="69"/>
      <c r="P185" s="69"/>
      <c r="AH185" s="11">
        <v>0</v>
      </c>
    </row>
    <row r="186" spans="1:34" s="11" customFormat="1" ht="0.75" hidden="1" customHeight="1">
      <c r="A186" s="34"/>
      <c r="B186" s="34"/>
      <c r="C186" s="4" t="s">
        <v>1158</v>
      </c>
      <c r="D186" s="1431"/>
      <c r="E186" s="1232"/>
      <c r="F186" s="1369"/>
      <c r="G186" s="227"/>
      <c r="H186" s="823"/>
      <c r="I186" s="52"/>
      <c r="J186" s="111"/>
      <c r="K186" s="823"/>
      <c r="L186" s="108"/>
      <c r="M186" s="201"/>
      <c r="N186" s="196"/>
      <c r="O186" s="69"/>
      <c r="P186" s="69"/>
      <c r="AH186" s="11">
        <v>0</v>
      </c>
    </row>
    <row r="187" spans="1:34" s="11" customFormat="1" ht="18.75" hidden="1" customHeight="1">
      <c r="A187" s="34" t="s">
        <v>249</v>
      </c>
      <c r="B187" s="34" t="s">
        <v>250</v>
      </c>
      <c r="C187" s="4"/>
      <c r="D187" s="1431"/>
      <c r="E187" s="1232"/>
      <c r="F187" s="136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06" t="str">
        <f>INDEX(PT_DIFFERENTIATION_NTAR,MATCH(B187,PT_DIFFERENTIATION_NTAR_ID,0))</f>
        <v/>
      </c>
      <c r="H187" s="763"/>
      <c r="I187" s="948"/>
      <c r="J187" s="974"/>
      <c r="K187" s="366"/>
      <c r="L187" s="763" t="s">
        <v>310</v>
      </c>
      <c r="M187" s="201"/>
      <c r="N187" s="196"/>
      <c r="O187" s="69"/>
      <c r="P187" s="69"/>
      <c r="AH187" s="11">
        <v>0</v>
      </c>
    </row>
    <row r="188" spans="1:34" s="11" customFormat="1" ht="18.75" hidden="1" customHeight="1">
      <c r="A188" s="34"/>
      <c r="B188" s="34"/>
      <c r="C188" s="4" t="s">
        <v>1151</v>
      </c>
      <c r="D188" s="1431"/>
      <c r="E188" s="1232"/>
      <c r="F188" s="1369"/>
      <c r="G188" s="1406"/>
      <c r="H188" s="823"/>
      <c r="I188" s="52" t="s">
        <v>1150</v>
      </c>
      <c r="J188" s="111"/>
      <c r="K188" s="823"/>
      <c r="L188" s="108"/>
      <c r="M188" s="201"/>
      <c r="N188" s="196"/>
      <c r="O188" s="69"/>
      <c r="P188" s="69"/>
      <c r="AH188" s="11">
        <v>0</v>
      </c>
    </row>
    <row r="189" spans="1:34" s="11" customFormat="1" ht="0.75" hidden="1" customHeight="1">
      <c r="A189" s="34"/>
      <c r="B189" s="34"/>
      <c r="C189" s="4" t="s">
        <v>1158</v>
      </c>
      <c r="D189" s="1431"/>
      <c r="E189" s="1232"/>
      <c r="F189" s="1369"/>
      <c r="G189" s="227"/>
      <c r="H189" s="823"/>
      <c r="I189" s="52"/>
      <c r="J189" s="111"/>
      <c r="K189" s="823"/>
      <c r="L189" s="108"/>
      <c r="M189" s="201"/>
      <c r="N189" s="196"/>
      <c r="O189" s="69"/>
      <c r="P189" s="69"/>
      <c r="AH189" s="11">
        <v>0</v>
      </c>
    </row>
    <row r="190" spans="1:34" s="11" customFormat="1" ht="18.75" hidden="1" customHeight="1">
      <c r="A190" s="34" t="s">
        <v>254</v>
      </c>
      <c r="B190" s="34" t="s">
        <v>255</v>
      </c>
      <c r="C190" s="4"/>
      <c r="D190" s="1431"/>
      <c r="E190" s="1232"/>
      <c r="F190" s="1369" t="str">
        <f>INDEX(PT_DIFFERENTIATION_VTAR,MATCH(A190,PT_DIFFERENTIATION_VTAR_ID,0))</f>
        <v>Тариф на горячую воду (горячее водоснабжение)</v>
      </c>
      <c r="G190" s="1406" t="str">
        <f>INDEX(PT_DIFFERENTIATION_NTAR,MATCH(B190,PT_DIFFERENTIATION_NTAR_ID,0))</f>
        <v/>
      </c>
      <c r="H190" s="763"/>
      <c r="I190" s="948"/>
      <c r="J190" s="974"/>
      <c r="K190" s="366"/>
      <c r="L190" s="763" t="s">
        <v>310</v>
      </c>
      <c r="M190" s="201"/>
      <c r="N190" s="196"/>
      <c r="O190" s="69"/>
      <c r="P190" s="69"/>
      <c r="AH190" s="11">
        <v>0</v>
      </c>
    </row>
    <row r="191" spans="1:34" s="11" customFormat="1" ht="18.75" hidden="1" customHeight="1">
      <c r="A191" s="34"/>
      <c r="B191" s="34"/>
      <c r="C191" s="4" t="s">
        <v>1151</v>
      </c>
      <c r="D191" s="1431"/>
      <c r="E191" s="1232"/>
      <c r="F191" s="1369"/>
      <c r="G191" s="1406"/>
      <c r="H191" s="823"/>
      <c r="I191" s="52" t="s">
        <v>1150</v>
      </c>
      <c r="J191" s="111"/>
      <c r="K191" s="823"/>
      <c r="L191" s="108"/>
      <c r="M191" s="201"/>
      <c r="N191" s="196"/>
      <c r="O191" s="69"/>
      <c r="P191" s="69"/>
      <c r="AH191" s="11">
        <v>0</v>
      </c>
    </row>
    <row r="192" spans="1:34" s="11" customFormat="1" ht="0.75" hidden="1" customHeight="1">
      <c r="A192" s="34"/>
      <c r="B192" s="34"/>
      <c r="C192" s="4" t="s">
        <v>1158</v>
      </c>
      <c r="D192" s="1431"/>
      <c r="E192" s="1232"/>
      <c r="F192" s="1369"/>
      <c r="G192" s="227"/>
      <c r="H192" s="823"/>
      <c r="I192" s="52"/>
      <c r="J192" s="111"/>
      <c r="K192" s="823"/>
      <c r="L192" s="108"/>
      <c r="M192" s="201"/>
      <c r="N192" s="196"/>
      <c r="O192" s="69"/>
      <c r="P192" s="69"/>
      <c r="AH192" s="11">
        <v>0</v>
      </c>
    </row>
    <row r="193" spans="1:34" s="11" customFormat="1" ht="18.75" hidden="1" customHeight="1">
      <c r="A193" s="34" t="s">
        <v>259</v>
      </c>
      <c r="B193" s="34" t="s">
        <v>260</v>
      </c>
      <c r="C193" s="4"/>
      <c r="D193" s="1431"/>
      <c r="E193" s="1232"/>
      <c r="F193" s="1369" t="str">
        <f>INDEX(PT_DIFFERENTIATION_VTAR,MATCH(A193,PT_DIFFERENTIATION_VTAR_ID,0))</f>
        <v>Тариф на транспортировку горячей воды</v>
      </c>
      <c r="G193" s="1406" t="str">
        <f>INDEX(PT_DIFFERENTIATION_NTAR,MATCH(B193,PT_DIFFERENTIATION_NTAR_ID,0))</f>
        <v/>
      </c>
      <c r="H193" s="763"/>
      <c r="I193" s="948"/>
      <c r="J193" s="974"/>
      <c r="K193" s="366"/>
      <c r="L193" s="763" t="s">
        <v>310</v>
      </c>
      <c r="M193" s="201"/>
      <c r="N193" s="196"/>
      <c r="O193" s="69"/>
      <c r="P193" s="69"/>
      <c r="AH193" s="11">
        <v>0</v>
      </c>
    </row>
    <row r="194" spans="1:34" s="11" customFormat="1" ht="18.75" hidden="1" customHeight="1">
      <c r="A194" s="34"/>
      <c r="B194" s="34"/>
      <c r="C194" s="4" t="s">
        <v>1151</v>
      </c>
      <c r="D194" s="1431"/>
      <c r="E194" s="1232"/>
      <c r="F194" s="1369"/>
      <c r="G194" s="1406"/>
      <c r="H194" s="823"/>
      <c r="I194" s="52" t="s">
        <v>1150</v>
      </c>
      <c r="J194" s="111"/>
      <c r="K194" s="823"/>
      <c r="L194" s="108"/>
      <c r="M194" s="201"/>
      <c r="N194" s="196"/>
      <c r="O194" s="69"/>
      <c r="P194" s="69"/>
      <c r="AH194" s="11">
        <v>0</v>
      </c>
    </row>
    <row r="195" spans="1:34" s="11" customFormat="1" ht="0.75" hidden="1" customHeight="1">
      <c r="A195" s="34"/>
      <c r="B195" s="34"/>
      <c r="C195" s="4" t="s">
        <v>1158</v>
      </c>
      <c r="D195" s="1431"/>
      <c r="E195" s="1232"/>
      <c r="F195" s="1369"/>
      <c r="G195" s="227"/>
      <c r="H195" s="823"/>
      <c r="I195" s="52"/>
      <c r="J195" s="111"/>
      <c r="K195" s="823"/>
      <c r="L195" s="108"/>
      <c r="M195" s="201"/>
      <c r="N195" s="196"/>
      <c r="O195" s="69"/>
      <c r="P195" s="69"/>
      <c r="AH195" s="11">
        <v>0</v>
      </c>
    </row>
    <row r="196" spans="1:34" s="11" customFormat="1" ht="18.75" hidden="1" customHeight="1">
      <c r="A196" s="34" t="s">
        <v>264</v>
      </c>
      <c r="B196" s="34" t="s">
        <v>265</v>
      </c>
      <c r="C196" s="4"/>
      <c r="D196" s="1431"/>
      <c r="E196" s="1232"/>
      <c r="F196" s="1369"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06" t="str">
        <f>INDEX(PT_DIFFERENTIATION_NTAR,MATCH(B196,PT_DIFFERENTIATION_NTAR_ID,0))</f>
        <v/>
      </c>
      <c r="H196" s="763"/>
      <c r="I196" s="948"/>
      <c r="J196" s="974"/>
      <c r="K196" s="366"/>
      <c r="L196" s="763" t="s">
        <v>310</v>
      </c>
      <c r="M196" s="201"/>
      <c r="N196" s="196"/>
      <c r="O196" s="69"/>
      <c r="P196" s="69"/>
      <c r="AH196" s="11">
        <v>0</v>
      </c>
    </row>
    <row r="197" spans="1:34" s="11" customFormat="1" ht="18.75" hidden="1" customHeight="1">
      <c r="A197" s="34"/>
      <c r="B197" s="34"/>
      <c r="C197" s="4" t="s">
        <v>1151</v>
      </c>
      <c r="D197" s="1431"/>
      <c r="E197" s="1232"/>
      <c r="F197" s="1369"/>
      <c r="G197" s="1406"/>
      <c r="H197" s="823"/>
      <c r="I197" s="52" t="s">
        <v>1150</v>
      </c>
      <c r="J197" s="111"/>
      <c r="K197" s="823"/>
      <c r="L197" s="108"/>
      <c r="M197" s="201"/>
      <c r="N197" s="196"/>
      <c r="O197" s="69"/>
      <c r="P197" s="69"/>
      <c r="AH197" s="11">
        <v>0</v>
      </c>
    </row>
    <row r="198" spans="1:34" s="11" customFormat="1" ht="0.75" hidden="1" customHeight="1">
      <c r="A198" s="34"/>
      <c r="B198" s="34"/>
      <c r="C198" s="4" t="s">
        <v>1158</v>
      </c>
      <c r="D198" s="1431"/>
      <c r="E198" s="1232"/>
      <c r="F198" s="1369"/>
      <c r="G198" s="227"/>
      <c r="H198" s="823"/>
      <c r="I198" s="52"/>
      <c r="J198" s="111"/>
      <c r="K198" s="823"/>
      <c r="L198" s="108"/>
      <c r="M198" s="201"/>
      <c r="N198" s="196"/>
      <c r="O198" s="69"/>
      <c r="P198" s="69"/>
      <c r="AH198" s="11">
        <v>0</v>
      </c>
    </row>
    <row r="199" spans="1:34" s="11" customFormat="1" ht="18.75" hidden="1" customHeight="1">
      <c r="A199" s="34" t="s">
        <v>269</v>
      </c>
      <c r="B199" s="34" t="s">
        <v>270</v>
      </c>
      <c r="C199" s="4"/>
      <c r="D199" s="1431"/>
      <c r="E199" s="1232"/>
      <c r="F199" s="1369" t="str">
        <f>INDEX(PT_DIFFERENTIATION_VTAR,MATCH(A199,PT_DIFFERENTIATION_VTAR_ID,0))</f>
        <v>Тариф на водоотведение</v>
      </c>
      <c r="G199" s="1406" t="str">
        <f>INDEX(PT_DIFFERENTIATION_NTAR,MATCH(B199,PT_DIFFERENTIATION_NTAR_ID,0))</f>
        <v/>
      </c>
      <c r="H199" s="763"/>
      <c r="I199" s="948"/>
      <c r="J199" s="974"/>
      <c r="K199" s="366"/>
      <c r="L199" s="763" t="s">
        <v>310</v>
      </c>
      <c r="M199" s="201"/>
      <c r="N199" s="196"/>
      <c r="O199" s="69"/>
      <c r="P199" s="69"/>
      <c r="AH199" s="11">
        <v>0</v>
      </c>
    </row>
    <row r="200" spans="1:34" s="11" customFormat="1" ht="18.75" hidden="1" customHeight="1">
      <c r="A200" s="34"/>
      <c r="B200" s="34"/>
      <c r="C200" s="4" t="s">
        <v>1151</v>
      </c>
      <c r="D200" s="1431"/>
      <c r="E200" s="1232"/>
      <c r="F200" s="1369"/>
      <c r="G200" s="1406"/>
      <c r="H200" s="823"/>
      <c r="I200" s="52" t="s">
        <v>1150</v>
      </c>
      <c r="J200" s="111"/>
      <c r="K200" s="823"/>
      <c r="L200" s="108"/>
      <c r="M200" s="201"/>
      <c r="N200" s="196"/>
      <c r="O200" s="69"/>
      <c r="P200" s="69"/>
      <c r="AH200" s="11">
        <v>0</v>
      </c>
    </row>
    <row r="201" spans="1:34" s="11" customFormat="1" ht="0.75" hidden="1" customHeight="1">
      <c r="A201" s="34"/>
      <c r="B201" s="34"/>
      <c r="C201" s="4" t="s">
        <v>1158</v>
      </c>
      <c r="D201" s="1431"/>
      <c r="E201" s="1232"/>
      <c r="F201" s="1369"/>
      <c r="G201" s="227"/>
      <c r="H201" s="823"/>
      <c r="I201" s="52"/>
      <c r="J201" s="111"/>
      <c r="K201" s="823"/>
      <c r="L201" s="108"/>
      <c r="M201" s="201"/>
      <c r="N201" s="196"/>
      <c r="O201" s="69"/>
      <c r="P201" s="69"/>
      <c r="AH201" s="11">
        <v>0</v>
      </c>
    </row>
    <row r="202" spans="1:34" s="11" customFormat="1" ht="18.75" hidden="1" customHeight="1">
      <c r="A202" s="34" t="s">
        <v>274</v>
      </c>
      <c r="B202" s="34" t="s">
        <v>275</v>
      </c>
      <c r="C202" s="4"/>
      <c r="D202" s="1431"/>
      <c r="E202" s="1232"/>
      <c r="F202" s="1369" t="str">
        <f>INDEX(PT_DIFFERENTIATION_VTAR,MATCH(A202,PT_DIFFERENTIATION_VTAR_ID,0))</f>
        <v>Тариф на транспортировку сточных вод</v>
      </c>
      <c r="G202" s="1406" t="str">
        <f>INDEX(PT_DIFFERENTIATION_NTAR,MATCH(B202,PT_DIFFERENTIATION_NTAR_ID,0))</f>
        <v/>
      </c>
      <c r="H202" s="763"/>
      <c r="I202" s="948"/>
      <c r="J202" s="974"/>
      <c r="K202" s="366"/>
      <c r="L202" s="763" t="s">
        <v>310</v>
      </c>
      <c r="M202" s="201"/>
      <c r="N202" s="196"/>
      <c r="O202" s="69"/>
      <c r="P202" s="69"/>
      <c r="AH202" s="11">
        <v>0</v>
      </c>
    </row>
    <row r="203" spans="1:34" s="11" customFormat="1" ht="18.75" hidden="1" customHeight="1">
      <c r="A203" s="34"/>
      <c r="B203" s="34"/>
      <c r="C203" s="4" t="s">
        <v>1151</v>
      </c>
      <c r="D203" s="1431"/>
      <c r="E203" s="1232"/>
      <c r="F203" s="1369"/>
      <c r="G203" s="1406"/>
      <c r="H203" s="823"/>
      <c r="I203" s="52" t="s">
        <v>1150</v>
      </c>
      <c r="J203" s="111"/>
      <c r="K203" s="823"/>
      <c r="L203" s="108"/>
      <c r="M203" s="201"/>
      <c r="N203" s="196"/>
      <c r="O203" s="69"/>
      <c r="P203" s="69"/>
      <c r="AH203" s="11">
        <v>0</v>
      </c>
    </row>
    <row r="204" spans="1:34" s="11" customFormat="1" ht="0.75" hidden="1" customHeight="1">
      <c r="A204" s="34"/>
      <c r="B204" s="34"/>
      <c r="C204" s="4" t="s">
        <v>1158</v>
      </c>
      <c r="D204" s="1431"/>
      <c r="E204" s="1232"/>
      <c r="F204" s="1369"/>
      <c r="G204" s="227"/>
      <c r="H204" s="823"/>
      <c r="I204" s="52"/>
      <c r="J204" s="111"/>
      <c r="K204" s="823"/>
      <c r="L204" s="108"/>
      <c r="M204" s="201"/>
      <c r="N204" s="196"/>
      <c r="O204" s="69"/>
      <c r="P204" s="69"/>
      <c r="AH204" s="11">
        <v>0</v>
      </c>
    </row>
    <row r="205" spans="1:34" s="11" customFormat="1" ht="18.75" hidden="1" customHeight="1">
      <c r="A205" s="34" t="s">
        <v>279</v>
      </c>
      <c r="B205" s="34" t="s">
        <v>280</v>
      </c>
      <c r="C205" s="4"/>
      <c r="D205" s="1431"/>
      <c r="E205" s="1232"/>
      <c r="F205" s="1369" t="str">
        <f>INDEX(PT_DIFFERENTIATION_VTAR,MATCH(A205,PT_DIFFERENTIATION_VTAR_ID,0))</f>
        <v>Тариф на подключение (технологическое присоединение) к централизованной системе водоотведения</v>
      </c>
      <c r="G205" s="1406" t="str">
        <f>INDEX(PT_DIFFERENTIATION_NTAR,MATCH(B205,PT_DIFFERENTIATION_NTAR_ID,0))</f>
        <v/>
      </c>
      <c r="H205" s="763"/>
      <c r="I205" s="948"/>
      <c r="J205" s="974"/>
      <c r="K205" s="366"/>
      <c r="L205" s="763" t="s">
        <v>310</v>
      </c>
      <c r="M205" s="201"/>
      <c r="N205" s="196"/>
      <c r="O205" s="69"/>
      <c r="P205" s="69"/>
      <c r="AH205" s="11">
        <v>0</v>
      </c>
    </row>
    <row r="206" spans="1:34" s="11" customFormat="1" ht="18.75" hidden="1" customHeight="1">
      <c r="A206" s="34"/>
      <c r="B206" s="34"/>
      <c r="C206" s="4" t="s">
        <v>1151</v>
      </c>
      <c r="D206" s="1431"/>
      <c r="E206" s="1232"/>
      <c r="F206" s="1369"/>
      <c r="G206" s="1406"/>
      <c r="H206" s="823"/>
      <c r="I206" s="52" t="s">
        <v>1150</v>
      </c>
      <c r="J206" s="111"/>
      <c r="K206" s="823"/>
      <c r="L206" s="108"/>
      <c r="M206" s="201"/>
      <c r="N206" s="196"/>
      <c r="O206" s="69"/>
      <c r="P206" s="69"/>
      <c r="AH206" s="11">
        <v>0</v>
      </c>
    </row>
    <row r="207" spans="1:34" s="11" customFormat="1" ht="1.1499999999999999" customHeight="1">
      <c r="A207" s="34"/>
      <c r="B207" s="34"/>
      <c r="C207" s="4" t="s">
        <v>1158</v>
      </c>
      <c r="D207" s="1431"/>
      <c r="E207" s="1232"/>
      <c r="F207" s="1369"/>
      <c r="G207" s="227"/>
      <c r="H207" s="823"/>
      <c r="I207" s="52"/>
      <c r="J207" s="111"/>
      <c r="K207" s="823"/>
      <c r="L207" s="108"/>
      <c r="M207" s="201"/>
      <c r="N207" s="196"/>
      <c r="O207" s="69"/>
      <c r="P207" s="69"/>
      <c r="AH207" s="11">
        <v>1</v>
      </c>
    </row>
    <row r="208" spans="1:34" ht="27.4" customHeight="1">
      <c r="A208" s="34"/>
      <c r="B208" s="34"/>
      <c r="D208" s="28"/>
      <c r="E208" s="64" t="s">
        <v>116</v>
      </c>
      <c r="F208" s="143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1430"/>
      <c r="H208" s="1430"/>
      <c r="I208" s="1430"/>
      <c r="J208" s="1430"/>
      <c r="K208" s="1430"/>
      <c r="L208" s="1430"/>
      <c r="M208" s="114"/>
      <c r="N208" s="196"/>
      <c r="AH208" s="11">
        <v>26</v>
      </c>
    </row>
    <row r="209" spans="1:34" s="11" customFormat="1" ht="60.75" hidden="1" customHeight="1">
      <c r="A209" s="34" t="s">
        <v>161</v>
      </c>
      <c r="B209" s="34" t="s">
        <v>162</v>
      </c>
      <c r="C209" s="4"/>
      <c r="D209" s="1431"/>
      <c r="E209" s="1232"/>
      <c r="F209" s="136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06" t="str">
        <f>INDEX(PT_DIFFERENTIATION_NTAR,MATCH(B209,PT_DIFFERENTIATION_NTAR_ID,0))</f>
        <v/>
      </c>
      <c r="H209" s="763"/>
      <c r="I209" s="948"/>
      <c r="J209" s="974"/>
      <c r="K209" s="366"/>
      <c r="L209" s="763" t="s">
        <v>310</v>
      </c>
      <c r="M209" s="11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1151</v>
      </c>
      <c r="D210" s="1431"/>
      <c r="E210" s="1232"/>
      <c r="F210" s="1369"/>
      <c r="G210" s="1406"/>
      <c r="H210" s="823"/>
      <c r="I210" s="52" t="s">
        <v>1150</v>
      </c>
      <c r="J210" s="111"/>
      <c r="K210" s="823"/>
      <c r="L210" s="108"/>
      <c r="M210" s="1193"/>
      <c r="N210" s="196"/>
      <c r="O210" s="69"/>
      <c r="P210" s="69"/>
      <c r="AH210" s="11">
        <v>0</v>
      </c>
    </row>
    <row r="211" spans="1:34" s="11" customFormat="1" ht="0.75" hidden="1" customHeight="1">
      <c r="A211" s="34"/>
      <c r="B211" s="34"/>
      <c r="C211" s="4" t="s">
        <v>1158</v>
      </c>
      <c r="D211" s="1431"/>
      <c r="E211" s="1232"/>
      <c r="F211" s="1369"/>
      <c r="G211" s="227"/>
      <c r="H211" s="823"/>
      <c r="I211" s="52"/>
      <c r="J211" s="111"/>
      <c r="K211" s="823"/>
      <c r="L211" s="108"/>
      <c r="M211" s="1193"/>
      <c r="N211" s="196"/>
      <c r="O211" s="69"/>
      <c r="P211" s="69"/>
      <c r="AH211" s="11">
        <v>0</v>
      </c>
    </row>
    <row r="212" spans="1:34" s="11" customFormat="1" ht="45" hidden="1" customHeight="1">
      <c r="A212" s="34" t="s">
        <v>166</v>
      </c>
      <c r="B212" s="34" t="s">
        <v>167</v>
      </c>
      <c r="C212" s="4"/>
      <c r="D212" s="1431"/>
      <c r="E212" s="1232"/>
      <c r="F212" s="1369" t="str">
        <f>INDEX(PT_DIFFERENTIATION_VTAR,MATCH(A212,PT_DIFFERENTIATION_VTAR_ID,0))</f>
        <v/>
      </c>
      <c r="G212" s="1406" t="str">
        <f>INDEX(PT_DIFFERENTIATION_NTAR,MATCH(B212,PT_DIFFERENTIATION_NTAR_ID,0))</f>
        <v/>
      </c>
      <c r="H212" s="763"/>
      <c r="I212" s="948"/>
      <c r="J212" s="974"/>
      <c r="K212" s="366"/>
      <c r="L212" s="763" t="s">
        <v>310</v>
      </c>
      <c r="M212" s="1194"/>
      <c r="N212" s="196"/>
      <c r="O212" s="69"/>
      <c r="P212" s="69"/>
      <c r="AH212" s="11">
        <v>0</v>
      </c>
    </row>
    <row r="213" spans="1:34" s="11" customFormat="1" ht="18.75" hidden="1" customHeight="1">
      <c r="A213" s="34"/>
      <c r="B213" s="34"/>
      <c r="C213" s="4" t="s">
        <v>1151</v>
      </c>
      <c r="D213" s="1431"/>
      <c r="E213" s="1232"/>
      <c r="F213" s="1369"/>
      <c r="G213" s="1406"/>
      <c r="H213" s="823"/>
      <c r="I213" s="52" t="s">
        <v>1150</v>
      </c>
      <c r="J213" s="111"/>
      <c r="K213" s="823"/>
      <c r="L213" s="108"/>
      <c r="M213" s="1006"/>
      <c r="N213" s="196"/>
      <c r="O213" s="69"/>
      <c r="P213" s="69"/>
      <c r="AH213" s="11">
        <v>0</v>
      </c>
    </row>
    <row r="214" spans="1:34" s="11" customFormat="1" ht="0.75" hidden="1" customHeight="1">
      <c r="A214" s="34"/>
      <c r="B214" s="34"/>
      <c r="C214" s="4" t="s">
        <v>1158</v>
      </c>
      <c r="D214" s="1431"/>
      <c r="E214" s="1232"/>
      <c r="F214" s="1369"/>
      <c r="G214" s="227"/>
      <c r="H214" s="823"/>
      <c r="I214" s="52"/>
      <c r="J214" s="111"/>
      <c r="K214" s="823"/>
      <c r="L214" s="108"/>
      <c r="M214" s="201"/>
      <c r="N214" s="196"/>
      <c r="O214" s="69"/>
      <c r="P214" s="69"/>
      <c r="AH214" s="11">
        <v>0</v>
      </c>
    </row>
    <row r="215" spans="1:34" s="11" customFormat="1" ht="45" hidden="1" customHeight="1">
      <c r="A215" s="34" t="s">
        <v>173</v>
      </c>
      <c r="B215" s="34" t="s">
        <v>174</v>
      </c>
      <c r="C215" s="4"/>
      <c r="D215" s="1431"/>
      <c r="E215" s="1232"/>
      <c r="F215" s="136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06" t="str">
        <f>INDEX(PT_DIFFERENTIATION_NTAR,MATCH(B215,PT_DIFFERENTIATION_NTAR_ID,0))</f>
        <v/>
      </c>
      <c r="H215" s="763"/>
      <c r="I215" s="948"/>
      <c r="J215" s="974"/>
      <c r="K215" s="366"/>
      <c r="L215" s="763" t="s">
        <v>310</v>
      </c>
      <c r="M215" s="201"/>
      <c r="N215" s="196"/>
      <c r="O215" s="69"/>
      <c r="P215" s="69"/>
      <c r="AH215" s="11">
        <v>0</v>
      </c>
    </row>
    <row r="216" spans="1:34" s="11" customFormat="1" ht="18.75" hidden="1" customHeight="1">
      <c r="A216" s="34"/>
      <c r="B216" s="34"/>
      <c r="C216" s="4" t="s">
        <v>1151</v>
      </c>
      <c r="D216" s="1431"/>
      <c r="E216" s="1232"/>
      <c r="F216" s="1369"/>
      <c r="G216" s="1406"/>
      <c r="H216" s="823"/>
      <c r="I216" s="52" t="s">
        <v>1150</v>
      </c>
      <c r="J216" s="111"/>
      <c r="K216" s="823"/>
      <c r="L216" s="108"/>
      <c r="M216" s="201"/>
      <c r="N216" s="196"/>
      <c r="O216" s="69"/>
      <c r="P216" s="69"/>
      <c r="AH216" s="11">
        <v>0</v>
      </c>
    </row>
    <row r="217" spans="1:34" s="11" customFormat="1" ht="0.75" hidden="1" customHeight="1">
      <c r="A217" s="34"/>
      <c r="B217" s="34"/>
      <c r="C217" s="4" t="s">
        <v>1158</v>
      </c>
      <c r="D217" s="1431"/>
      <c r="E217" s="1232"/>
      <c r="F217" s="1369"/>
      <c r="G217" s="227"/>
      <c r="H217" s="823"/>
      <c r="I217" s="52"/>
      <c r="J217" s="111"/>
      <c r="K217" s="823"/>
      <c r="L217" s="108"/>
      <c r="M217" s="201"/>
      <c r="N217" s="196"/>
      <c r="O217" s="69"/>
      <c r="P217" s="69"/>
      <c r="AH217" s="11">
        <v>0</v>
      </c>
    </row>
    <row r="218" spans="1:34" s="11" customFormat="1" ht="45" hidden="1" customHeight="1">
      <c r="A218" s="34" t="s">
        <v>179</v>
      </c>
      <c r="B218" s="34" t="s">
        <v>180</v>
      </c>
      <c r="C218" s="4"/>
      <c r="D218" s="1431"/>
      <c r="E218" s="1232"/>
      <c r="F218" s="136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06" t="str">
        <f>INDEX(PT_DIFFERENTIATION_NTAR,MATCH(B218,PT_DIFFERENTIATION_NTAR_ID,0))</f>
        <v/>
      </c>
      <c r="H218" s="763"/>
      <c r="I218" s="948"/>
      <c r="J218" s="974"/>
      <c r="K218" s="366"/>
      <c r="L218" s="763" t="s">
        <v>310</v>
      </c>
      <c r="M218" s="201"/>
      <c r="N218" s="196"/>
      <c r="O218" s="69"/>
      <c r="P218" s="69"/>
      <c r="AH218" s="11">
        <v>0</v>
      </c>
    </row>
    <row r="219" spans="1:34" s="11" customFormat="1" ht="18.75" hidden="1" customHeight="1">
      <c r="A219" s="34"/>
      <c r="B219" s="34"/>
      <c r="C219" s="4" t="s">
        <v>1151</v>
      </c>
      <c r="D219" s="1431"/>
      <c r="E219" s="1232"/>
      <c r="F219" s="1369"/>
      <c r="G219" s="1406"/>
      <c r="H219" s="823"/>
      <c r="I219" s="52" t="s">
        <v>1150</v>
      </c>
      <c r="J219" s="111"/>
      <c r="K219" s="823"/>
      <c r="L219" s="108"/>
      <c r="M219" s="201"/>
      <c r="N219" s="196"/>
      <c r="O219" s="69"/>
      <c r="P219" s="69"/>
      <c r="AH219" s="11">
        <v>0</v>
      </c>
    </row>
    <row r="220" spans="1:34" s="11" customFormat="1" ht="0.75" hidden="1" customHeight="1">
      <c r="A220" s="34"/>
      <c r="B220" s="34"/>
      <c r="C220" s="4" t="s">
        <v>1158</v>
      </c>
      <c r="D220" s="1431"/>
      <c r="E220" s="1232"/>
      <c r="F220" s="1369"/>
      <c r="G220" s="227"/>
      <c r="H220" s="823"/>
      <c r="I220" s="52"/>
      <c r="J220" s="111"/>
      <c r="K220" s="823"/>
      <c r="L220" s="108"/>
      <c r="M220" s="201"/>
      <c r="N220" s="196"/>
      <c r="O220" s="69"/>
      <c r="P220" s="69"/>
      <c r="AH220" s="11">
        <v>0</v>
      </c>
    </row>
    <row r="221" spans="1:34" s="11" customFormat="1" ht="18.75" hidden="1" customHeight="1">
      <c r="A221" s="34" t="s">
        <v>185</v>
      </c>
      <c r="B221" s="34" t="s">
        <v>186</v>
      </c>
      <c r="C221" s="4"/>
      <c r="D221" s="1431"/>
      <c r="E221" s="1232"/>
      <c r="F221" s="1369" t="str">
        <f>INDEX(PT_DIFFERENTIATION_VTAR,MATCH(A221,PT_DIFFERENTIATION_VTAR_ID,0))</f>
        <v>Тарифы на услуги по передаче тепловой энергии</v>
      </c>
      <c r="G221" s="1406" t="str">
        <f>INDEX(PT_DIFFERENTIATION_NTAR,MATCH(B221,PT_DIFFERENTIATION_NTAR_ID,0))</f>
        <v/>
      </c>
      <c r="H221" s="763"/>
      <c r="I221" s="948"/>
      <c r="J221" s="974"/>
      <c r="K221" s="366"/>
      <c r="L221" s="763" t="s">
        <v>310</v>
      </c>
      <c r="M221" s="201"/>
      <c r="N221" s="196"/>
      <c r="O221" s="69"/>
      <c r="P221" s="69"/>
      <c r="AH221" s="11">
        <v>0</v>
      </c>
    </row>
    <row r="222" spans="1:34" s="11" customFormat="1" ht="18.75" hidden="1" customHeight="1">
      <c r="A222" s="34"/>
      <c r="B222" s="34"/>
      <c r="C222" s="4" t="s">
        <v>1151</v>
      </c>
      <c r="D222" s="1431"/>
      <c r="E222" s="1232"/>
      <c r="F222" s="1369"/>
      <c r="G222" s="1406"/>
      <c r="H222" s="823"/>
      <c r="I222" s="52" t="s">
        <v>1150</v>
      </c>
      <c r="J222" s="111"/>
      <c r="K222" s="823"/>
      <c r="L222" s="108"/>
      <c r="M222" s="201"/>
      <c r="N222" s="196"/>
      <c r="O222" s="69"/>
      <c r="P222" s="69"/>
      <c r="AH222" s="11">
        <v>0</v>
      </c>
    </row>
    <row r="223" spans="1:34" s="11" customFormat="1" ht="0.75" hidden="1" customHeight="1">
      <c r="A223" s="34"/>
      <c r="B223" s="34"/>
      <c r="C223" s="4" t="s">
        <v>1158</v>
      </c>
      <c r="D223" s="1431"/>
      <c r="E223" s="1232"/>
      <c r="F223" s="1369"/>
      <c r="G223" s="227"/>
      <c r="H223" s="823"/>
      <c r="I223" s="52"/>
      <c r="J223" s="111"/>
      <c r="K223" s="823"/>
      <c r="L223" s="108"/>
      <c r="M223" s="201"/>
      <c r="N223" s="196"/>
      <c r="O223" s="69"/>
      <c r="P223" s="69"/>
      <c r="AH223" s="11">
        <v>0</v>
      </c>
    </row>
    <row r="224" spans="1:34" s="11" customFormat="1" ht="18.75" hidden="1" customHeight="1">
      <c r="A224" s="34" t="s">
        <v>191</v>
      </c>
      <c r="B224" s="34" t="s">
        <v>192</v>
      </c>
      <c r="C224" s="4"/>
      <c r="D224" s="1431"/>
      <c r="E224" s="1232"/>
      <c r="F224" s="1369" t="str">
        <f>INDEX(PT_DIFFERENTIATION_VTAR,MATCH(A224,PT_DIFFERENTIATION_VTAR_ID,0))</f>
        <v>Тарифы на услуги по передаче теплоносителя</v>
      </c>
      <c r="G224" s="1406" t="str">
        <f>INDEX(PT_DIFFERENTIATION_NTAR,MATCH(B224,PT_DIFFERENTIATION_NTAR_ID,0))</f>
        <v/>
      </c>
      <c r="H224" s="763"/>
      <c r="I224" s="948"/>
      <c r="J224" s="974"/>
      <c r="K224" s="366"/>
      <c r="L224" s="763" t="s">
        <v>310</v>
      </c>
      <c r="M224" s="201"/>
      <c r="N224" s="196"/>
      <c r="O224" s="69"/>
      <c r="P224" s="69"/>
      <c r="AH224" s="11">
        <v>0</v>
      </c>
    </row>
    <row r="225" spans="1:34" s="11" customFormat="1" ht="18.75" hidden="1" customHeight="1">
      <c r="A225" s="34"/>
      <c r="B225" s="34"/>
      <c r="C225" s="4" t="s">
        <v>1151</v>
      </c>
      <c r="D225" s="1431"/>
      <c r="E225" s="1232"/>
      <c r="F225" s="1369"/>
      <c r="G225" s="1406"/>
      <c r="H225" s="823"/>
      <c r="I225" s="52" t="s">
        <v>1150</v>
      </c>
      <c r="J225" s="111"/>
      <c r="K225" s="823"/>
      <c r="L225" s="108"/>
      <c r="M225" s="201"/>
      <c r="N225" s="196"/>
      <c r="O225" s="69"/>
      <c r="P225" s="69"/>
      <c r="AH225" s="11">
        <v>0</v>
      </c>
    </row>
    <row r="226" spans="1:34" s="11" customFormat="1" ht="0.75" hidden="1" customHeight="1">
      <c r="A226" s="34"/>
      <c r="B226" s="34"/>
      <c r="C226" s="4" t="s">
        <v>1158</v>
      </c>
      <c r="D226" s="1431"/>
      <c r="E226" s="1232"/>
      <c r="F226" s="1369"/>
      <c r="G226" s="227"/>
      <c r="H226" s="823"/>
      <c r="I226" s="52"/>
      <c r="J226" s="111"/>
      <c r="K226" s="823"/>
      <c r="L226" s="108"/>
      <c r="M226" s="201"/>
      <c r="N226" s="196"/>
      <c r="O226" s="69"/>
      <c r="P226" s="69"/>
      <c r="AH226" s="11">
        <v>0</v>
      </c>
    </row>
    <row r="227" spans="1:34" s="11" customFormat="1" ht="18.75" hidden="1" customHeight="1">
      <c r="A227" s="34" t="s">
        <v>197</v>
      </c>
      <c r="B227" s="34" t="s">
        <v>198</v>
      </c>
      <c r="C227" s="4"/>
      <c r="D227" s="1431"/>
      <c r="E227" s="1232"/>
      <c r="F227" s="136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06" t="str">
        <f>INDEX(PT_DIFFERENTIATION_NTAR,MATCH(B227,PT_DIFFERENTIATION_NTAR_ID,0))</f>
        <v/>
      </c>
      <c r="H227" s="763"/>
      <c r="I227" s="948"/>
      <c r="J227" s="974"/>
      <c r="K227" s="366"/>
      <c r="L227" s="763" t="s">
        <v>310</v>
      </c>
      <c r="M227" s="201"/>
      <c r="N227" s="196"/>
      <c r="O227" s="69"/>
      <c r="P227" s="69"/>
      <c r="AH227" s="11">
        <v>0</v>
      </c>
    </row>
    <row r="228" spans="1:34" s="11" customFormat="1" ht="18.75" hidden="1" customHeight="1">
      <c r="A228" s="34"/>
      <c r="B228" s="34"/>
      <c r="C228" s="4" t="s">
        <v>1151</v>
      </c>
      <c r="D228" s="1431"/>
      <c r="E228" s="1232"/>
      <c r="F228" s="1369"/>
      <c r="G228" s="1406"/>
      <c r="H228" s="823"/>
      <c r="I228" s="52" t="s">
        <v>1150</v>
      </c>
      <c r="J228" s="111"/>
      <c r="K228" s="823"/>
      <c r="L228" s="108"/>
      <c r="M228" s="201"/>
      <c r="N228" s="196"/>
      <c r="O228" s="69"/>
      <c r="P228" s="69"/>
      <c r="AH228" s="11">
        <v>0</v>
      </c>
    </row>
    <row r="229" spans="1:34" s="11" customFormat="1" ht="0.75" hidden="1" customHeight="1">
      <c r="A229" s="34"/>
      <c r="B229" s="34"/>
      <c r="C229" s="4" t="s">
        <v>1158</v>
      </c>
      <c r="D229" s="1431"/>
      <c r="E229" s="1232"/>
      <c r="F229" s="1369"/>
      <c r="G229" s="227"/>
      <c r="H229" s="823"/>
      <c r="I229" s="52"/>
      <c r="J229" s="111"/>
      <c r="K229" s="823"/>
      <c r="L229" s="108"/>
      <c r="M229" s="201"/>
      <c r="N229" s="196"/>
      <c r="O229" s="69"/>
      <c r="P229" s="69"/>
      <c r="AH229" s="11">
        <v>0</v>
      </c>
    </row>
    <row r="230" spans="1:34" s="11" customFormat="1" ht="18.75" hidden="1" customHeight="1">
      <c r="A230" s="34" t="s">
        <v>203</v>
      </c>
      <c r="B230" s="34" t="s">
        <v>204</v>
      </c>
      <c r="C230" s="4"/>
      <c r="D230" s="1431"/>
      <c r="E230" s="1232"/>
      <c r="F230" s="1369" t="str">
        <f>INDEX(PT_DIFFERENTIATION_VTAR,MATCH(A230,PT_DIFFERENTIATION_VTAR_ID,0))</f>
        <v>Плата за подключение (технологическое присоединение) к системе теплоснабжения</v>
      </c>
      <c r="G230" s="1406" t="str">
        <f>INDEX(PT_DIFFERENTIATION_NTAR,MATCH(B230,PT_DIFFERENTIATION_NTAR_ID,0))</f>
        <v/>
      </c>
      <c r="H230" s="763"/>
      <c r="I230" s="948"/>
      <c r="J230" s="974"/>
      <c r="K230" s="366"/>
      <c r="L230" s="763" t="s">
        <v>310</v>
      </c>
      <c r="M230" s="201"/>
      <c r="N230" s="196"/>
      <c r="O230" s="69"/>
      <c r="P230" s="69"/>
      <c r="AH230" s="11">
        <v>0</v>
      </c>
    </row>
    <row r="231" spans="1:34" s="11" customFormat="1" ht="18.75" hidden="1" customHeight="1">
      <c r="A231" s="34"/>
      <c r="B231" s="34"/>
      <c r="C231" s="4" t="s">
        <v>1151</v>
      </c>
      <c r="D231" s="1431"/>
      <c r="E231" s="1232"/>
      <c r="F231" s="1369"/>
      <c r="G231" s="1406"/>
      <c r="H231" s="823"/>
      <c r="I231" s="52" t="s">
        <v>1150</v>
      </c>
      <c r="J231" s="111"/>
      <c r="K231" s="823"/>
      <c r="L231" s="108"/>
      <c r="M231" s="201"/>
      <c r="N231" s="196"/>
      <c r="O231" s="69"/>
      <c r="P231" s="69"/>
      <c r="AH231" s="11">
        <v>0</v>
      </c>
    </row>
    <row r="232" spans="1:34" s="11" customFormat="1" ht="0.75" hidden="1" customHeight="1">
      <c r="A232" s="34"/>
      <c r="B232" s="34"/>
      <c r="C232" s="4" t="s">
        <v>1158</v>
      </c>
      <c r="D232" s="1431"/>
      <c r="E232" s="1232"/>
      <c r="F232" s="1369"/>
      <c r="G232" s="227"/>
      <c r="H232" s="823"/>
      <c r="I232" s="52"/>
      <c r="J232" s="111"/>
      <c r="K232" s="823"/>
      <c r="L232" s="108"/>
      <c r="M232" s="201"/>
      <c r="N232" s="196"/>
      <c r="O232" s="69"/>
      <c r="P232" s="69"/>
      <c r="AH232" s="11">
        <v>0</v>
      </c>
    </row>
    <row r="233" spans="1:34" s="11" customFormat="1" ht="18.75" hidden="1" customHeight="1">
      <c r="A233" s="34" t="s">
        <v>209</v>
      </c>
      <c r="B233" s="34" t="s">
        <v>210</v>
      </c>
      <c r="C233" s="4"/>
      <c r="D233" s="1431"/>
      <c r="E233" s="1232"/>
      <c r="F233" s="1369" t="str">
        <f>INDEX(PT_DIFFERENTIATION_VTAR,MATCH(A233,PT_DIFFERENTIATION_VTAR_ID,0))</f>
        <v>Плата за подключение (технологическое присоединение) к системе теплоснабжения (индивидуальная)</v>
      </c>
      <c r="G233" s="1406" t="str">
        <f>INDEX(PT_DIFFERENTIATION_NTAR,MATCH(B233,PT_DIFFERENTIATION_NTAR_ID,0))</f>
        <v/>
      </c>
      <c r="H233" s="763"/>
      <c r="I233" s="948"/>
      <c r="J233" s="974"/>
      <c r="K233" s="366"/>
      <c r="L233" s="763" t="s">
        <v>310</v>
      </c>
      <c r="M233" s="201"/>
      <c r="N233" s="196"/>
      <c r="O233" s="69"/>
      <c r="P233" s="69"/>
      <c r="AH233" s="11">
        <v>0</v>
      </c>
    </row>
    <row r="234" spans="1:34" s="11" customFormat="1" ht="18.75" hidden="1" customHeight="1">
      <c r="A234" s="34"/>
      <c r="B234" s="34"/>
      <c r="C234" s="4" t="s">
        <v>1151</v>
      </c>
      <c r="D234" s="1431"/>
      <c r="E234" s="1232"/>
      <c r="F234" s="1369"/>
      <c r="G234" s="1406"/>
      <c r="H234" s="823"/>
      <c r="I234" s="52" t="s">
        <v>1150</v>
      </c>
      <c r="J234" s="111"/>
      <c r="K234" s="823"/>
      <c r="L234" s="108"/>
      <c r="M234" s="201"/>
      <c r="N234" s="196"/>
      <c r="O234" s="69"/>
      <c r="P234" s="69"/>
      <c r="AH234" s="11">
        <v>0</v>
      </c>
    </row>
    <row r="235" spans="1:34" s="11" customFormat="1" ht="0.75" hidden="1" customHeight="1">
      <c r="A235" s="34"/>
      <c r="B235" s="34"/>
      <c r="C235" s="4" t="s">
        <v>1158</v>
      </c>
      <c r="D235" s="1431"/>
      <c r="E235" s="1232"/>
      <c r="F235" s="1369"/>
      <c r="G235" s="227"/>
      <c r="H235" s="823"/>
      <c r="I235" s="52"/>
      <c r="J235" s="111"/>
      <c r="K235" s="823"/>
      <c r="L235" s="108"/>
      <c r="M235" s="201"/>
      <c r="N235" s="196"/>
      <c r="O235" s="69"/>
      <c r="P235" s="69"/>
      <c r="AH235" s="11">
        <v>0</v>
      </c>
    </row>
    <row r="236" spans="1:34" s="11" customFormat="1" ht="18.75" hidden="1" customHeight="1">
      <c r="A236" s="34" t="s">
        <v>229</v>
      </c>
      <c r="B236" s="34" t="s">
        <v>230</v>
      </c>
      <c r="C236" s="4"/>
      <c r="D236" s="1431"/>
      <c r="E236" s="1232"/>
      <c r="F236" s="1369" t="str">
        <f>INDEX(PT_DIFFERENTIATION_VTAR,MATCH(A236,PT_DIFFERENTIATION_VTAR_ID,0))</f>
        <v>Тариф на питьевую воду (питьевое водоснабжение)</v>
      </c>
      <c r="G236" s="1406" t="str">
        <f>INDEX(PT_DIFFERENTIATION_NTAR,MATCH(B236,PT_DIFFERENTIATION_NTAR_ID,0))</f>
        <v/>
      </c>
      <c r="H236" s="763"/>
      <c r="I236" s="948"/>
      <c r="J236" s="974"/>
      <c r="K236" s="366"/>
      <c r="L236" s="763" t="s">
        <v>310</v>
      </c>
      <c r="M236" s="201"/>
      <c r="N236" s="196"/>
      <c r="O236" s="69"/>
      <c r="P236" s="69"/>
      <c r="AH236" s="11">
        <v>0</v>
      </c>
    </row>
    <row r="237" spans="1:34" s="11" customFormat="1" ht="18.75" hidden="1" customHeight="1">
      <c r="A237" s="34"/>
      <c r="B237" s="34"/>
      <c r="C237" s="4" t="s">
        <v>1151</v>
      </c>
      <c r="D237" s="1431"/>
      <c r="E237" s="1232"/>
      <c r="F237" s="1369"/>
      <c r="G237" s="1406"/>
      <c r="H237" s="823"/>
      <c r="I237" s="52" t="s">
        <v>1150</v>
      </c>
      <c r="J237" s="111"/>
      <c r="K237" s="823"/>
      <c r="L237" s="108"/>
      <c r="M237" s="201"/>
      <c r="N237" s="196"/>
      <c r="O237" s="69"/>
      <c r="P237" s="69"/>
      <c r="AH237" s="11">
        <v>0</v>
      </c>
    </row>
    <row r="238" spans="1:34" s="11" customFormat="1" ht="0.75" hidden="1" customHeight="1">
      <c r="A238" s="34"/>
      <c r="B238" s="34"/>
      <c r="C238" s="4" t="s">
        <v>1158</v>
      </c>
      <c r="D238" s="1431"/>
      <c r="E238" s="1232"/>
      <c r="F238" s="1369"/>
      <c r="G238" s="227"/>
      <c r="H238" s="823"/>
      <c r="I238" s="52"/>
      <c r="J238" s="111"/>
      <c r="K238" s="823"/>
      <c r="L238" s="108"/>
      <c r="M238" s="201"/>
      <c r="N238" s="196"/>
      <c r="O238" s="69"/>
      <c r="P238" s="69"/>
      <c r="AH238" s="11">
        <v>0</v>
      </c>
    </row>
    <row r="239" spans="1:34" s="11" customFormat="1" ht="18.75" hidden="1" customHeight="1">
      <c r="A239" s="34" t="s">
        <v>234</v>
      </c>
      <c r="B239" s="34" t="s">
        <v>235</v>
      </c>
      <c r="C239" s="4"/>
      <c r="D239" s="1431"/>
      <c r="E239" s="1232"/>
      <c r="F239" s="1369" t="str">
        <f>INDEX(PT_DIFFERENTIATION_VTAR,MATCH(A239,PT_DIFFERENTIATION_VTAR_ID,0))</f>
        <v>Тариф на техническую воду</v>
      </c>
      <c r="G239" s="1406" t="str">
        <f>INDEX(PT_DIFFERENTIATION_NTAR,MATCH(B239,PT_DIFFERENTIATION_NTAR_ID,0))</f>
        <v/>
      </c>
      <c r="H239" s="763"/>
      <c r="I239" s="948"/>
      <c r="J239" s="974"/>
      <c r="K239" s="366"/>
      <c r="L239" s="763" t="s">
        <v>310</v>
      </c>
      <c r="M239" s="201"/>
      <c r="N239" s="196"/>
      <c r="O239" s="69"/>
      <c r="P239" s="69"/>
      <c r="AH239" s="11">
        <v>0</v>
      </c>
    </row>
    <row r="240" spans="1:34" s="11" customFormat="1" ht="18.75" hidden="1" customHeight="1">
      <c r="A240" s="34"/>
      <c r="B240" s="34"/>
      <c r="C240" s="4" t="s">
        <v>1151</v>
      </c>
      <c r="D240" s="1431"/>
      <c r="E240" s="1232"/>
      <c r="F240" s="1369"/>
      <c r="G240" s="1406"/>
      <c r="H240" s="823"/>
      <c r="I240" s="52" t="s">
        <v>1150</v>
      </c>
      <c r="J240" s="111"/>
      <c r="K240" s="823"/>
      <c r="L240" s="108"/>
      <c r="M240" s="201"/>
      <c r="N240" s="196"/>
      <c r="O240" s="69"/>
      <c r="P240" s="69"/>
      <c r="AH240" s="11">
        <v>0</v>
      </c>
    </row>
    <row r="241" spans="1:34" s="11" customFormat="1" ht="0.75" hidden="1" customHeight="1">
      <c r="A241" s="34"/>
      <c r="B241" s="34"/>
      <c r="C241" s="4" t="s">
        <v>1158</v>
      </c>
      <c r="D241" s="1431"/>
      <c r="E241" s="1232"/>
      <c r="F241" s="1369"/>
      <c r="G241" s="227"/>
      <c r="H241" s="823"/>
      <c r="I241" s="52"/>
      <c r="J241" s="111"/>
      <c r="K241" s="823"/>
      <c r="L241" s="108"/>
      <c r="M241" s="201"/>
      <c r="N241" s="196"/>
      <c r="O241" s="69"/>
      <c r="P241" s="69"/>
      <c r="AH241" s="11">
        <v>0</v>
      </c>
    </row>
    <row r="242" spans="1:34" s="11" customFormat="1" ht="18.75" hidden="1" customHeight="1">
      <c r="A242" s="34" t="s">
        <v>239</v>
      </c>
      <c r="B242" s="34" t="s">
        <v>240</v>
      </c>
      <c r="C242" s="4"/>
      <c r="D242" s="1431"/>
      <c r="E242" s="1232"/>
      <c r="F242" s="1369" t="str">
        <f>INDEX(PT_DIFFERENTIATION_VTAR,MATCH(A242,PT_DIFFERENTIATION_VTAR_ID,0))</f>
        <v>Тариф на транспортировку воды</v>
      </c>
      <c r="G242" s="1406" t="str">
        <f>INDEX(PT_DIFFERENTIATION_NTAR,MATCH(B242,PT_DIFFERENTIATION_NTAR_ID,0))</f>
        <v/>
      </c>
      <c r="H242" s="763"/>
      <c r="I242" s="948"/>
      <c r="J242" s="974"/>
      <c r="K242" s="366"/>
      <c r="L242" s="763" t="s">
        <v>310</v>
      </c>
      <c r="M242" s="201"/>
      <c r="N242" s="196"/>
      <c r="O242" s="69"/>
      <c r="P242" s="69"/>
      <c r="AH242" s="11">
        <v>0</v>
      </c>
    </row>
    <row r="243" spans="1:34" s="11" customFormat="1" ht="18.75" hidden="1" customHeight="1">
      <c r="A243" s="34"/>
      <c r="B243" s="34"/>
      <c r="C243" s="4" t="s">
        <v>1151</v>
      </c>
      <c r="D243" s="1431"/>
      <c r="E243" s="1232"/>
      <c r="F243" s="1369"/>
      <c r="G243" s="1406"/>
      <c r="H243" s="823"/>
      <c r="I243" s="52" t="s">
        <v>1150</v>
      </c>
      <c r="J243" s="111"/>
      <c r="K243" s="823"/>
      <c r="L243" s="108"/>
      <c r="M243" s="201"/>
      <c r="N243" s="196"/>
      <c r="O243" s="69"/>
      <c r="P243" s="69"/>
      <c r="AH243" s="11">
        <v>0</v>
      </c>
    </row>
    <row r="244" spans="1:34" s="11" customFormat="1" ht="0.75" hidden="1" customHeight="1">
      <c r="A244" s="34"/>
      <c r="B244" s="34"/>
      <c r="C244" s="4" t="s">
        <v>1158</v>
      </c>
      <c r="D244" s="1431"/>
      <c r="E244" s="1232"/>
      <c r="F244" s="1369"/>
      <c r="G244" s="227"/>
      <c r="H244" s="823"/>
      <c r="I244" s="52"/>
      <c r="J244" s="111"/>
      <c r="K244" s="823"/>
      <c r="L244" s="108"/>
      <c r="M244" s="201"/>
      <c r="N244" s="196"/>
      <c r="O244" s="69"/>
      <c r="P244" s="69"/>
      <c r="AH244" s="11">
        <v>0</v>
      </c>
    </row>
    <row r="245" spans="1:34" s="11" customFormat="1" ht="18.75" hidden="1" customHeight="1">
      <c r="A245" s="34" t="s">
        <v>244</v>
      </c>
      <c r="B245" s="34" t="s">
        <v>245</v>
      </c>
      <c r="C245" s="4"/>
      <c r="D245" s="1431"/>
      <c r="E245" s="1232"/>
      <c r="F245" s="1369" t="str">
        <f>INDEX(PT_DIFFERENTIATION_VTAR,MATCH(A245,PT_DIFFERENTIATION_VTAR_ID,0))</f>
        <v>Тариф на подвоз воды</v>
      </c>
      <c r="G245" s="1406" t="str">
        <f>INDEX(PT_DIFFERENTIATION_NTAR,MATCH(B245,PT_DIFFERENTIATION_NTAR_ID,0))</f>
        <v/>
      </c>
      <c r="H245" s="763"/>
      <c r="I245" s="948"/>
      <c r="J245" s="974"/>
      <c r="K245" s="366"/>
      <c r="L245" s="763" t="s">
        <v>310</v>
      </c>
      <c r="M245" s="201"/>
      <c r="N245" s="196"/>
      <c r="O245" s="69"/>
      <c r="P245" s="69"/>
      <c r="AH245" s="11">
        <v>0</v>
      </c>
    </row>
    <row r="246" spans="1:34" s="11" customFormat="1" ht="18.75" hidden="1" customHeight="1">
      <c r="A246" s="34"/>
      <c r="B246" s="34"/>
      <c r="C246" s="4" t="s">
        <v>1151</v>
      </c>
      <c r="D246" s="1431"/>
      <c r="E246" s="1232"/>
      <c r="F246" s="1369"/>
      <c r="G246" s="1406"/>
      <c r="H246" s="823"/>
      <c r="I246" s="52" t="s">
        <v>1150</v>
      </c>
      <c r="J246" s="111"/>
      <c r="K246" s="823"/>
      <c r="L246" s="108"/>
      <c r="M246" s="201"/>
      <c r="N246" s="196"/>
      <c r="O246" s="69"/>
      <c r="P246" s="69"/>
      <c r="AH246" s="11">
        <v>0</v>
      </c>
    </row>
    <row r="247" spans="1:34" s="11" customFormat="1" ht="0.75" hidden="1" customHeight="1">
      <c r="A247" s="34"/>
      <c r="B247" s="34"/>
      <c r="C247" s="4" t="s">
        <v>1158</v>
      </c>
      <c r="D247" s="1431"/>
      <c r="E247" s="1232"/>
      <c r="F247" s="1369"/>
      <c r="G247" s="227"/>
      <c r="H247" s="823"/>
      <c r="I247" s="52"/>
      <c r="J247" s="111"/>
      <c r="K247" s="823"/>
      <c r="L247" s="108"/>
      <c r="M247" s="201"/>
      <c r="N247" s="196"/>
      <c r="O247" s="69"/>
      <c r="P247" s="69"/>
      <c r="AH247" s="11">
        <v>0</v>
      </c>
    </row>
    <row r="248" spans="1:34" s="11" customFormat="1" ht="18.75" hidden="1" customHeight="1">
      <c r="A248" s="34" t="s">
        <v>249</v>
      </c>
      <c r="B248" s="34" t="s">
        <v>250</v>
      </c>
      <c r="C248" s="4"/>
      <c r="D248" s="1431"/>
      <c r="E248" s="1232"/>
      <c r="F248" s="136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06" t="str">
        <f>INDEX(PT_DIFFERENTIATION_NTAR,MATCH(B248,PT_DIFFERENTIATION_NTAR_ID,0))</f>
        <v/>
      </c>
      <c r="H248" s="763"/>
      <c r="I248" s="948"/>
      <c r="J248" s="974"/>
      <c r="K248" s="366"/>
      <c r="L248" s="763" t="s">
        <v>310</v>
      </c>
      <c r="M248" s="201"/>
      <c r="N248" s="196"/>
      <c r="O248" s="69"/>
      <c r="P248" s="69"/>
      <c r="AH248" s="11">
        <v>0</v>
      </c>
    </row>
    <row r="249" spans="1:34" s="11" customFormat="1" ht="18.75" hidden="1" customHeight="1">
      <c r="A249" s="34"/>
      <c r="B249" s="34"/>
      <c r="C249" s="4" t="s">
        <v>1151</v>
      </c>
      <c r="D249" s="1431"/>
      <c r="E249" s="1232"/>
      <c r="F249" s="1369"/>
      <c r="G249" s="1406"/>
      <c r="H249" s="823"/>
      <c r="I249" s="52" t="s">
        <v>1150</v>
      </c>
      <c r="J249" s="111"/>
      <c r="K249" s="823"/>
      <c r="L249" s="108"/>
      <c r="M249" s="201"/>
      <c r="N249" s="196"/>
      <c r="O249" s="69"/>
      <c r="P249" s="69"/>
      <c r="AH249" s="11">
        <v>0</v>
      </c>
    </row>
    <row r="250" spans="1:34" s="11" customFormat="1" ht="0.75" hidden="1" customHeight="1">
      <c r="A250" s="34"/>
      <c r="B250" s="34"/>
      <c r="C250" s="4" t="s">
        <v>1158</v>
      </c>
      <c r="D250" s="1431"/>
      <c r="E250" s="1232"/>
      <c r="F250" s="1369"/>
      <c r="G250" s="227"/>
      <c r="H250" s="823"/>
      <c r="I250" s="52"/>
      <c r="J250" s="111"/>
      <c r="K250" s="823"/>
      <c r="L250" s="108"/>
      <c r="M250" s="201"/>
      <c r="N250" s="196"/>
      <c r="O250" s="69"/>
      <c r="P250" s="69"/>
      <c r="AH250" s="11">
        <v>0</v>
      </c>
    </row>
    <row r="251" spans="1:34" s="11" customFormat="1" ht="18.75" hidden="1" customHeight="1">
      <c r="A251" s="34" t="s">
        <v>254</v>
      </c>
      <c r="B251" s="34" t="s">
        <v>255</v>
      </c>
      <c r="C251" s="4"/>
      <c r="D251" s="1431"/>
      <c r="E251" s="1232"/>
      <c r="F251" s="1369" t="str">
        <f>INDEX(PT_DIFFERENTIATION_VTAR,MATCH(A251,PT_DIFFERENTIATION_VTAR_ID,0))</f>
        <v>Тариф на горячую воду (горячее водоснабжение)</v>
      </c>
      <c r="G251" s="1406" t="str">
        <f>INDEX(PT_DIFFERENTIATION_NTAR,MATCH(B251,PT_DIFFERENTIATION_NTAR_ID,0))</f>
        <v/>
      </c>
      <c r="H251" s="763"/>
      <c r="I251" s="948"/>
      <c r="J251" s="974"/>
      <c r="K251" s="366"/>
      <c r="L251" s="763" t="s">
        <v>310</v>
      </c>
      <c r="M251" s="201"/>
      <c r="N251" s="196"/>
      <c r="O251" s="69"/>
      <c r="P251" s="69"/>
      <c r="AH251" s="11">
        <v>0</v>
      </c>
    </row>
    <row r="252" spans="1:34" s="11" customFormat="1" ht="18.75" hidden="1" customHeight="1">
      <c r="A252" s="34"/>
      <c r="B252" s="34"/>
      <c r="C252" s="4" t="s">
        <v>1151</v>
      </c>
      <c r="D252" s="1431"/>
      <c r="E252" s="1232"/>
      <c r="F252" s="1369"/>
      <c r="G252" s="1406"/>
      <c r="H252" s="823"/>
      <c r="I252" s="52" t="s">
        <v>1150</v>
      </c>
      <c r="J252" s="111"/>
      <c r="K252" s="823"/>
      <c r="L252" s="108"/>
      <c r="M252" s="201"/>
      <c r="N252" s="196"/>
      <c r="O252" s="69"/>
      <c r="P252" s="69"/>
      <c r="AH252" s="11">
        <v>0</v>
      </c>
    </row>
    <row r="253" spans="1:34" s="11" customFormat="1" ht="0.75" hidden="1" customHeight="1">
      <c r="A253" s="34"/>
      <c r="B253" s="34"/>
      <c r="C253" s="4" t="s">
        <v>1158</v>
      </c>
      <c r="D253" s="1431"/>
      <c r="E253" s="1232"/>
      <c r="F253" s="1369"/>
      <c r="G253" s="227"/>
      <c r="H253" s="823"/>
      <c r="I253" s="52"/>
      <c r="J253" s="111"/>
      <c r="K253" s="823"/>
      <c r="L253" s="108"/>
      <c r="M253" s="201"/>
      <c r="N253" s="196"/>
      <c r="O253" s="69"/>
      <c r="P253" s="69"/>
      <c r="AH253" s="11">
        <v>0</v>
      </c>
    </row>
    <row r="254" spans="1:34" s="11" customFormat="1" ht="18.75" hidden="1" customHeight="1">
      <c r="A254" s="34" t="s">
        <v>259</v>
      </c>
      <c r="B254" s="34" t="s">
        <v>260</v>
      </c>
      <c r="C254" s="4"/>
      <c r="D254" s="1431"/>
      <c r="E254" s="1232"/>
      <c r="F254" s="1369" t="str">
        <f>INDEX(PT_DIFFERENTIATION_VTAR,MATCH(A254,PT_DIFFERENTIATION_VTAR_ID,0))</f>
        <v>Тариф на транспортировку горячей воды</v>
      </c>
      <c r="G254" s="1406" t="str">
        <f>INDEX(PT_DIFFERENTIATION_NTAR,MATCH(B254,PT_DIFFERENTIATION_NTAR_ID,0))</f>
        <v/>
      </c>
      <c r="H254" s="763"/>
      <c r="I254" s="948"/>
      <c r="J254" s="974"/>
      <c r="K254" s="366"/>
      <c r="L254" s="763" t="s">
        <v>310</v>
      </c>
      <c r="M254" s="201"/>
      <c r="N254" s="196"/>
      <c r="O254" s="69"/>
      <c r="P254" s="69"/>
      <c r="AH254" s="11">
        <v>0</v>
      </c>
    </row>
    <row r="255" spans="1:34" s="11" customFormat="1" ht="18.75" hidden="1" customHeight="1">
      <c r="A255" s="34"/>
      <c r="B255" s="34"/>
      <c r="C255" s="4" t="s">
        <v>1151</v>
      </c>
      <c r="D255" s="1431"/>
      <c r="E255" s="1232"/>
      <c r="F255" s="1369"/>
      <c r="G255" s="1406"/>
      <c r="H255" s="823"/>
      <c r="I255" s="52" t="s">
        <v>1150</v>
      </c>
      <c r="J255" s="111"/>
      <c r="K255" s="823"/>
      <c r="L255" s="108"/>
      <c r="M255" s="201"/>
      <c r="N255" s="196"/>
      <c r="O255" s="69"/>
      <c r="P255" s="69"/>
      <c r="AH255" s="11">
        <v>0</v>
      </c>
    </row>
    <row r="256" spans="1:34" s="11" customFormat="1" ht="0.75" hidden="1" customHeight="1">
      <c r="A256" s="34"/>
      <c r="B256" s="34"/>
      <c r="C256" s="4" t="s">
        <v>1158</v>
      </c>
      <c r="D256" s="1431"/>
      <c r="E256" s="1232"/>
      <c r="F256" s="1369"/>
      <c r="G256" s="227"/>
      <c r="H256" s="823"/>
      <c r="I256" s="52"/>
      <c r="J256" s="111"/>
      <c r="K256" s="823"/>
      <c r="L256" s="108"/>
      <c r="M256" s="201"/>
      <c r="N256" s="196"/>
      <c r="O256" s="69"/>
      <c r="P256" s="69"/>
      <c r="AH256" s="11">
        <v>0</v>
      </c>
    </row>
    <row r="257" spans="1:34" s="11" customFormat="1" ht="18.75" hidden="1" customHeight="1">
      <c r="A257" s="34" t="s">
        <v>264</v>
      </c>
      <c r="B257" s="34" t="s">
        <v>265</v>
      </c>
      <c r="C257" s="4"/>
      <c r="D257" s="1431"/>
      <c r="E257" s="1232"/>
      <c r="F257" s="1369"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06" t="str">
        <f>INDEX(PT_DIFFERENTIATION_NTAR,MATCH(B257,PT_DIFFERENTIATION_NTAR_ID,0))</f>
        <v/>
      </c>
      <c r="H257" s="763"/>
      <c r="I257" s="948"/>
      <c r="J257" s="974"/>
      <c r="K257" s="366"/>
      <c r="L257" s="763" t="s">
        <v>310</v>
      </c>
      <c r="M257" s="201"/>
      <c r="N257" s="196"/>
      <c r="O257" s="69"/>
      <c r="P257" s="69"/>
      <c r="AH257" s="11">
        <v>0</v>
      </c>
    </row>
    <row r="258" spans="1:34" s="11" customFormat="1" ht="18.75" hidden="1" customHeight="1">
      <c r="A258" s="34"/>
      <c r="B258" s="34"/>
      <c r="C258" s="4" t="s">
        <v>1151</v>
      </c>
      <c r="D258" s="1431"/>
      <c r="E258" s="1232"/>
      <c r="F258" s="1369"/>
      <c r="G258" s="1406"/>
      <c r="H258" s="823"/>
      <c r="I258" s="52" t="s">
        <v>1150</v>
      </c>
      <c r="J258" s="111"/>
      <c r="K258" s="823"/>
      <c r="L258" s="108"/>
      <c r="M258" s="201"/>
      <c r="N258" s="196"/>
      <c r="O258" s="69"/>
      <c r="P258" s="69"/>
      <c r="AH258" s="11">
        <v>0</v>
      </c>
    </row>
    <row r="259" spans="1:34" s="11" customFormat="1" ht="0.75" hidden="1" customHeight="1">
      <c r="A259" s="34"/>
      <c r="B259" s="34"/>
      <c r="C259" s="4" t="s">
        <v>1158</v>
      </c>
      <c r="D259" s="1431"/>
      <c r="E259" s="1232"/>
      <c r="F259" s="1369"/>
      <c r="G259" s="227"/>
      <c r="H259" s="823"/>
      <c r="I259" s="52"/>
      <c r="J259" s="111"/>
      <c r="K259" s="823"/>
      <c r="L259" s="108"/>
      <c r="M259" s="201"/>
      <c r="N259" s="196"/>
      <c r="O259" s="69"/>
      <c r="P259" s="69"/>
      <c r="AH259" s="11">
        <v>0</v>
      </c>
    </row>
    <row r="260" spans="1:34" s="11" customFormat="1" ht="18.75" hidden="1" customHeight="1">
      <c r="A260" s="34" t="s">
        <v>269</v>
      </c>
      <c r="B260" s="34" t="s">
        <v>270</v>
      </c>
      <c r="C260" s="4"/>
      <c r="D260" s="1431"/>
      <c r="E260" s="1232"/>
      <c r="F260" s="1369" t="str">
        <f>INDEX(PT_DIFFERENTIATION_VTAR,MATCH(A260,PT_DIFFERENTIATION_VTAR_ID,0))</f>
        <v>Тариф на водоотведение</v>
      </c>
      <c r="G260" s="1406" t="str">
        <f>INDEX(PT_DIFFERENTIATION_NTAR,MATCH(B260,PT_DIFFERENTIATION_NTAR_ID,0))</f>
        <v/>
      </c>
      <c r="H260" s="763"/>
      <c r="I260" s="948"/>
      <c r="J260" s="974"/>
      <c r="K260" s="366"/>
      <c r="L260" s="763" t="s">
        <v>310</v>
      </c>
      <c r="M260" s="201"/>
      <c r="N260" s="196"/>
      <c r="O260" s="69"/>
      <c r="P260" s="69"/>
      <c r="AH260" s="11">
        <v>0</v>
      </c>
    </row>
    <row r="261" spans="1:34" s="11" customFormat="1" ht="18.75" hidden="1" customHeight="1">
      <c r="A261" s="34"/>
      <c r="B261" s="34"/>
      <c r="C261" s="4" t="s">
        <v>1151</v>
      </c>
      <c r="D261" s="1431"/>
      <c r="E261" s="1232"/>
      <c r="F261" s="1369"/>
      <c r="G261" s="1406"/>
      <c r="H261" s="823"/>
      <c r="I261" s="52" t="s">
        <v>1150</v>
      </c>
      <c r="J261" s="111"/>
      <c r="K261" s="823"/>
      <c r="L261" s="108"/>
      <c r="M261" s="201"/>
      <c r="N261" s="196"/>
      <c r="O261" s="69"/>
      <c r="P261" s="69"/>
      <c r="AH261" s="11">
        <v>0</v>
      </c>
    </row>
    <row r="262" spans="1:34" s="11" customFormat="1" ht="0.75" hidden="1" customHeight="1">
      <c r="A262" s="34"/>
      <c r="B262" s="34"/>
      <c r="C262" s="4" t="s">
        <v>1158</v>
      </c>
      <c r="D262" s="1431"/>
      <c r="E262" s="1232"/>
      <c r="F262" s="1369"/>
      <c r="G262" s="227"/>
      <c r="H262" s="823"/>
      <c r="I262" s="52"/>
      <c r="J262" s="111"/>
      <c r="K262" s="823"/>
      <c r="L262" s="108"/>
      <c r="M262" s="201"/>
      <c r="N262" s="196"/>
      <c r="O262" s="69"/>
      <c r="P262" s="69"/>
      <c r="AH262" s="11">
        <v>0</v>
      </c>
    </row>
    <row r="263" spans="1:34" s="11" customFormat="1" ht="18.75" hidden="1" customHeight="1">
      <c r="A263" s="34" t="s">
        <v>274</v>
      </c>
      <c r="B263" s="34" t="s">
        <v>275</v>
      </c>
      <c r="C263" s="4"/>
      <c r="D263" s="1431"/>
      <c r="E263" s="1232"/>
      <c r="F263" s="1369" t="str">
        <f>INDEX(PT_DIFFERENTIATION_VTAR,MATCH(A263,PT_DIFFERENTIATION_VTAR_ID,0))</f>
        <v>Тариф на транспортировку сточных вод</v>
      </c>
      <c r="G263" s="1406" t="str">
        <f>INDEX(PT_DIFFERENTIATION_NTAR,MATCH(B263,PT_DIFFERENTIATION_NTAR_ID,0))</f>
        <v/>
      </c>
      <c r="H263" s="763"/>
      <c r="I263" s="948"/>
      <c r="J263" s="974"/>
      <c r="K263" s="366"/>
      <c r="L263" s="763" t="s">
        <v>310</v>
      </c>
      <c r="M263" s="201"/>
      <c r="N263" s="196"/>
      <c r="O263" s="69"/>
      <c r="P263" s="69"/>
      <c r="AH263" s="11">
        <v>0</v>
      </c>
    </row>
    <row r="264" spans="1:34" s="11" customFormat="1" ht="18.75" hidden="1" customHeight="1">
      <c r="A264" s="34"/>
      <c r="B264" s="34"/>
      <c r="C264" s="4" t="s">
        <v>1151</v>
      </c>
      <c r="D264" s="1431"/>
      <c r="E264" s="1232"/>
      <c r="F264" s="1369"/>
      <c r="G264" s="1406"/>
      <c r="H264" s="823"/>
      <c r="I264" s="52" t="s">
        <v>1150</v>
      </c>
      <c r="J264" s="111"/>
      <c r="K264" s="823"/>
      <c r="L264" s="108"/>
      <c r="M264" s="201"/>
      <c r="N264" s="196"/>
      <c r="O264" s="69"/>
      <c r="P264" s="69"/>
      <c r="AH264" s="11">
        <v>0</v>
      </c>
    </row>
    <row r="265" spans="1:34" s="11" customFormat="1" ht="0.75" hidden="1" customHeight="1">
      <c r="A265" s="34"/>
      <c r="B265" s="34"/>
      <c r="C265" s="4" t="s">
        <v>1158</v>
      </c>
      <c r="D265" s="1431"/>
      <c r="E265" s="1232"/>
      <c r="F265" s="1369"/>
      <c r="G265" s="227"/>
      <c r="H265" s="823"/>
      <c r="I265" s="52"/>
      <c r="J265" s="111"/>
      <c r="K265" s="823"/>
      <c r="L265" s="108"/>
      <c r="M265" s="201"/>
      <c r="N265" s="196"/>
      <c r="O265" s="69"/>
      <c r="P265" s="69"/>
      <c r="AH265" s="11">
        <v>0</v>
      </c>
    </row>
    <row r="266" spans="1:34" s="11" customFormat="1" ht="18.75" hidden="1" customHeight="1">
      <c r="A266" s="34" t="s">
        <v>279</v>
      </c>
      <c r="B266" s="34" t="s">
        <v>280</v>
      </c>
      <c r="C266" s="4"/>
      <c r="D266" s="1431"/>
      <c r="E266" s="1232"/>
      <c r="F266" s="1369" t="str">
        <f>INDEX(PT_DIFFERENTIATION_VTAR,MATCH(A266,PT_DIFFERENTIATION_VTAR_ID,0))</f>
        <v>Тариф на подключение (технологическое присоединение) к централизованной системе водоотведения</v>
      </c>
      <c r="G266" s="1406" t="str">
        <f>INDEX(PT_DIFFERENTIATION_NTAR,MATCH(B266,PT_DIFFERENTIATION_NTAR_ID,0))</f>
        <v/>
      </c>
      <c r="H266" s="763"/>
      <c r="I266" s="948"/>
      <c r="J266" s="974"/>
      <c r="K266" s="366"/>
      <c r="L266" s="763" t="s">
        <v>310</v>
      </c>
      <c r="M266" s="201"/>
      <c r="N266" s="196"/>
      <c r="O266" s="69"/>
      <c r="P266" s="69"/>
      <c r="AH266" s="11">
        <v>0</v>
      </c>
    </row>
    <row r="267" spans="1:34" s="11" customFormat="1" ht="18.75" hidden="1" customHeight="1">
      <c r="A267" s="34"/>
      <c r="B267" s="34"/>
      <c r="C267" s="4" t="s">
        <v>1151</v>
      </c>
      <c r="D267" s="1431"/>
      <c r="E267" s="1232"/>
      <c r="F267" s="1369"/>
      <c r="G267" s="1406"/>
      <c r="H267" s="823"/>
      <c r="I267" s="52" t="s">
        <v>1150</v>
      </c>
      <c r="J267" s="111"/>
      <c r="K267" s="823"/>
      <c r="L267" s="108"/>
      <c r="M267" s="201"/>
      <c r="N267" s="196"/>
      <c r="O267" s="69"/>
      <c r="P267" s="69"/>
      <c r="AH267" s="11">
        <v>0</v>
      </c>
    </row>
    <row r="268" spans="1:34" s="11" customFormat="1" ht="1.1499999999999999" customHeight="1">
      <c r="A268" s="34"/>
      <c r="B268" s="34"/>
      <c r="C268" s="4" t="s">
        <v>1158</v>
      </c>
      <c r="D268" s="1431"/>
      <c r="E268" s="1232"/>
      <c r="F268" s="1369"/>
      <c r="G268" s="227"/>
      <c r="H268" s="823"/>
      <c r="I268" s="52"/>
      <c r="J268" s="111"/>
      <c r="K268" s="823"/>
      <c r="L268" s="108"/>
      <c r="M268" s="201"/>
      <c r="N268" s="196"/>
      <c r="O268" s="69"/>
      <c r="P268" s="69"/>
      <c r="AH268" s="11">
        <v>1</v>
      </c>
    </row>
    <row r="269" spans="1:34" ht="27.4" customHeight="1">
      <c r="A269" s="34"/>
      <c r="B269" s="34"/>
      <c r="D269" s="28"/>
      <c r="E269" s="64" t="s">
        <v>92</v>
      </c>
      <c r="F269" s="143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1430"/>
      <c r="H269" s="1430"/>
      <c r="I269" s="1430"/>
      <c r="J269" s="1430"/>
      <c r="K269" s="1430"/>
      <c r="L269" s="1430"/>
      <c r="M269" s="114"/>
      <c r="N269" s="196"/>
      <c r="AH269" s="11">
        <v>26</v>
      </c>
    </row>
    <row r="270" spans="1:34" s="11" customFormat="1" ht="60.75" hidden="1" customHeight="1">
      <c r="A270" s="34" t="s">
        <v>161</v>
      </c>
      <c r="B270" s="34" t="s">
        <v>162</v>
      </c>
      <c r="C270" s="4"/>
      <c r="D270" s="1431"/>
      <c r="E270" s="1232"/>
      <c r="F270" s="136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06" t="str">
        <f>INDEX(PT_DIFFERENTIATION_NTAR,MATCH(B270,PT_DIFFERENTIATION_NTAR_ID,0))</f>
        <v/>
      </c>
      <c r="H270" s="763"/>
      <c r="I270" s="948"/>
      <c r="J270" s="974"/>
      <c r="K270" s="366"/>
      <c r="L270" s="763" t="s">
        <v>310</v>
      </c>
      <c r="M270" s="11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1151</v>
      </c>
      <c r="D271" s="1431"/>
      <c r="E271" s="1232"/>
      <c r="F271" s="1369"/>
      <c r="G271" s="1406"/>
      <c r="H271" s="823"/>
      <c r="I271" s="52" t="s">
        <v>1150</v>
      </c>
      <c r="J271" s="111"/>
      <c r="K271" s="823"/>
      <c r="L271" s="108"/>
      <c r="M271" s="1193"/>
      <c r="N271" s="196"/>
      <c r="O271" s="69"/>
      <c r="P271" s="69"/>
      <c r="AH271" s="11">
        <v>0</v>
      </c>
    </row>
    <row r="272" spans="1:34" s="11" customFormat="1" ht="0.75" hidden="1" customHeight="1">
      <c r="A272" s="34"/>
      <c r="B272" s="34"/>
      <c r="C272" s="4" t="s">
        <v>1158</v>
      </c>
      <c r="D272" s="1431"/>
      <c r="E272" s="1232"/>
      <c r="F272" s="1369"/>
      <c r="G272" s="227"/>
      <c r="H272" s="823"/>
      <c r="I272" s="52"/>
      <c r="J272" s="111"/>
      <c r="K272" s="823"/>
      <c r="L272" s="108"/>
      <c r="M272" s="1193"/>
      <c r="N272" s="196"/>
      <c r="O272" s="69"/>
      <c r="P272" s="69"/>
      <c r="AH272" s="11">
        <v>0</v>
      </c>
    </row>
    <row r="273" spans="1:34" s="11" customFormat="1" ht="45" hidden="1" customHeight="1">
      <c r="A273" s="34" t="s">
        <v>166</v>
      </c>
      <c r="B273" s="34" t="s">
        <v>167</v>
      </c>
      <c r="C273" s="4"/>
      <c r="D273" s="1431"/>
      <c r="E273" s="1232"/>
      <c r="F273" s="1369" t="str">
        <f>INDEX(PT_DIFFERENTIATION_VTAR,MATCH(A273,PT_DIFFERENTIATION_VTAR_ID,0))</f>
        <v/>
      </c>
      <c r="G273" s="1406" t="str">
        <f>INDEX(PT_DIFFERENTIATION_NTAR,MATCH(B273,PT_DIFFERENTIATION_NTAR_ID,0))</f>
        <v/>
      </c>
      <c r="H273" s="763"/>
      <c r="I273" s="948"/>
      <c r="J273" s="974"/>
      <c r="K273" s="366"/>
      <c r="L273" s="763" t="s">
        <v>310</v>
      </c>
      <c r="M273" s="1194"/>
      <c r="N273" s="196"/>
      <c r="O273" s="69"/>
      <c r="P273" s="69"/>
      <c r="AH273" s="11">
        <v>0</v>
      </c>
    </row>
    <row r="274" spans="1:34" s="11" customFormat="1" ht="18.75" hidden="1" customHeight="1">
      <c r="A274" s="34"/>
      <c r="B274" s="34"/>
      <c r="C274" s="4" t="s">
        <v>1151</v>
      </c>
      <c r="D274" s="1431"/>
      <c r="E274" s="1232"/>
      <c r="F274" s="1369"/>
      <c r="G274" s="1406"/>
      <c r="H274" s="823"/>
      <c r="I274" s="52" t="s">
        <v>1150</v>
      </c>
      <c r="J274" s="111"/>
      <c r="K274" s="823"/>
      <c r="L274" s="108"/>
      <c r="M274" s="1006"/>
      <c r="N274" s="196"/>
      <c r="O274" s="69"/>
      <c r="P274" s="69"/>
      <c r="AH274" s="11">
        <v>0</v>
      </c>
    </row>
    <row r="275" spans="1:34" s="11" customFormat="1" ht="0.75" hidden="1" customHeight="1">
      <c r="A275" s="34"/>
      <c r="B275" s="34"/>
      <c r="C275" s="4" t="s">
        <v>1158</v>
      </c>
      <c r="D275" s="1431"/>
      <c r="E275" s="1232"/>
      <c r="F275" s="1369"/>
      <c r="G275" s="227"/>
      <c r="H275" s="823"/>
      <c r="I275" s="52"/>
      <c r="J275" s="111"/>
      <c r="K275" s="823"/>
      <c r="L275" s="108"/>
      <c r="M275" s="201"/>
      <c r="N275" s="196"/>
      <c r="O275" s="69"/>
      <c r="P275" s="69"/>
      <c r="AH275" s="11">
        <v>0</v>
      </c>
    </row>
    <row r="276" spans="1:34" s="11" customFormat="1" ht="45" hidden="1" customHeight="1">
      <c r="A276" s="34" t="s">
        <v>173</v>
      </c>
      <c r="B276" s="34" t="s">
        <v>174</v>
      </c>
      <c r="C276" s="4"/>
      <c r="D276" s="1431"/>
      <c r="E276" s="1232"/>
      <c r="F276" s="136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06" t="str">
        <f>INDEX(PT_DIFFERENTIATION_NTAR,MATCH(B276,PT_DIFFERENTIATION_NTAR_ID,0))</f>
        <v/>
      </c>
      <c r="H276" s="763"/>
      <c r="I276" s="948"/>
      <c r="J276" s="974"/>
      <c r="K276" s="366"/>
      <c r="L276" s="763" t="s">
        <v>310</v>
      </c>
      <c r="M276" s="201"/>
      <c r="N276" s="196"/>
      <c r="O276" s="69"/>
      <c r="P276" s="69"/>
      <c r="AH276" s="11">
        <v>0</v>
      </c>
    </row>
    <row r="277" spans="1:34" s="11" customFormat="1" ht="18.75" hidden="1" customHeight="1">
      <c r="A277" s="34"/>
      <c r="B277" s="34"/>
      <c r="C277" s="4" t="s">
        <v>1151</v>
      </c>
      <c r="D277" s="1431"/>
      <c r="E277" s="1232"/>
      <c r="F277" s="1369"/>
      <c r="G277" s="1406"/>
      <c r="H277" s="823"/>
      <c r="I277" s="52" t="s">
        <v>1150</v>
      </c>
      <c r="J277" s="111"/>
      <c r="K277" s="823"/>
      <c r="L277" s="108"/>
      <c r="M277" s="201"/>
      <c r="N277" s="196"/>
      <c r="O277" s="69"/>
      <c r="P277" s="69"/>
      <c r="AH277" s="11">
        <v>0</v>
      </c>
    </row>
    <row r="278" spans="1:34" s="11" customFormat="1" ht="0.75" hidden="1" customHeight="1">
      <c r="A278" s="34"/>
      <c r="B278" s="34"/>
      <c r="C278" s="4" t="s">
        <v>1158</v>
      </c>
      <c r="D278" s="1431"/>
      <c r="E278" s="1232"/>
      <c r="F278" s="1369"/>
      <c r="G278" s="227"/>
      <c r="H278" s="823"/>
      <c r="I278" s="52"/>
      <c r="J278" s="111"/>
      <c r="K278" s="823"/>
      <c r="L278" s="108"/>
      <c r="M278" s="201"/>
      <c r="N278" s="196"/>
      <c r="O278" s="69"/>
      <c r="P278" s="69"/>
      <c r="AH278" s="11">
        <v>0</v>
      </c>
    </row>
    <row r="279" spans="1:34" s="11" customFormat="1" ht="45" hidden="1" customHeight="1">
      <c r="A279" s="34" t="s">
        <v>179</v>
      </c>
      <c r="B279" s="34" t="s">
        <v>180</v>
      </c>
      <c r="C279" s="4"/>
      <c r="D279" s="1431"/>
      <c r="E279" s="1232"/>
      <c r="F279" s="136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06" t="str">
        <f>INDEX(PT_DIFFERENTIATION_NTAR,MATCH(B279,PT_DIFFERENTIATION_NTAR_ID,0))</f>
        <v/>
      </c>
      <c r="H279" s="763"/>
      <c r="I279" s="948"/>
      <c r="J279" s="974"/>
      <c r="K279" s="366"/>
      <c r="L279" s="763" t="s">
        <v>310</v>
      </c>
      <c r="M279" s="201"/>
      <c r="N279" s="196"/>
      <c r="O279" s="69"/>
      <c r="P279" s="69"/>
      <c r="AH279" s="11">
        <v>0</v>
      </c>
    </row>
    <row r="280" spans="1:34" s="11" customFormat="1" ht="18.75" hidden="1" customHeight="1">
      <c r="A280" s="34"/>
      <c r="B280" s="34"/>
      <c r="C280" s="4" t="s">
        <v>1151</v>
      </c>
      <c r="D280" s="1431"/>
      <c r="E280" s="1232"/>
      <c r="F280" s="1369"/>
      <c r="G280" s="1406"/>
      <c r="H280" s="823"/>
      <c r="I280" s="52" t="s">
        <v>1150</v>
      </c>
      <c r="J280" s="111"/>
      <c r="K280" s="823"/>
      <c r="L280" s="108"/>
      <c r="M280" s="201"/>
      <c r="N280" s="196"/>
      <c r="O280" s="69"/>
      <c r="P280" s="69"/>
      <c r="AH280" s="11">
        <v>0</v>
      </c>
    </row>
    <row r="281" spans="1:34" s="11" customFormat="1" ht="0.75" hidden="1" customHeight="1">
      <c r="A281" s="34"/>
      <c r="B281" s="34"/>
      <c r="C281" s="4" t="s">
        <v>1158</v>
      </c>
      <c r="D281" s="1431"/>
      <c r="E281" s="1232"/>
      <c r="F281" s="1369"/>
      <c r="G281" s="227"/>
      <c r="H281" s="823"/>
      <c r="I281" s="52"/>
      <c r="J281" s="111"/>
      <c r="K281" s="823"/>
      <c r="L281" s="108"/>
      <c r="M281" s="201"/>
      <c r="N281" s="196"/>
      <c r="O281" s="69"/>
      <c r="P281" s="69"/>
      <c r="AH281" s="11">
        <v>0</v>
      </c>
    </row>
    <row r="282" spans="1:34" s="11" customFormat="1" ht="18.75" hidden="1" customHeight="1">
      <c r="A282" s="34" t="s">
        <v>185</v>
      </c>
      <c r="B282" s="34" t="s">
        <v>186</v>
      </c>
      <c r="C282" s="4"/>
      <c r="D282" s="1431"/>
      <c r="E282" s="1232"/>
      <c r="F282" s="1369" t="str">
        <f>INDEX(PT_DIFFERENTIATION_VTAR,MATCH(A282,PT_DIFFERENTIATION_VTAR_ID,0))</f>
        <v>Тарифы на услуги по передаче тепловой энергии</v>
      </c>
      <c r="G282" s="1406" t="str">
        <f>INDEX(PT_DIFFERENTIATION_NTAR,MATCH(B282,PT_DIFFERENTIATION_NTAR_ID,0))</f>
        <v/>
      </c>
      <c r="H282" s="763"/>
      <c r="I282" s="948"/>
      <c r="J282" s="974"/>
      <c r="K282" s="366"/>
      <c r="L282" s="763" t="s">
        <v>310</v>
      </c>
      <c r="M282" s="201"/>
      <c r="N282" s="196"/>
      <c r="O282" s="69"/>
      <c r="P282" s="69"/>
      <c r="AH282" s="11">
        <v>0</v>
      </c>
    </row>
    <row r="283" spans="1:34" s="11" customFormat="1" ht="18.75" hidden="1" customHeight="1">
      <c r="A283" s="34"/>
      <c r="B283" s="34"/>
      <c r="C283" s="4" t="s">
        <v>1151</v>
      </c>
      <c r="D283" s="1431"/>
      <c r="E283" s="1232"/>
      <c r="F283" s="1369"/>
      <c r="G283" s="1406"/>
      <c r="H283" s="823"/>
      <c r="I283" s="52" t="s">
        <v>1150</v>
      </c>
      <c r="J283" s="111"/>
      <c r="K283" s="823"/>
      <c r="L283" s="108"/>
      <c r="M283" s="201"/>
      <c r="N283" s="196"/>
      <c r="O283" s="69"/>
      <c r="P283" s="69"/>
      <c r="AH283" s="11">
        <v>0</v>
      </c>
    </row>
    <row r="284" spans="1:34" s="11" customFormat="1" ht="0.75" hidden="1" customHeight="1">
      <c r="A284" s="34"/>
      <c r="B284" s="34"/>
      <c r="C284" s="4" t="s">
        <v>1158</v>
      </c>
      <c r="D284" s="1431"/>
      <c r="E284" s="1232"/>
      <c r="F284" s="1369"/>
      <c r="G284" s="227"/>
      <c r="H284" s="823"/>
      <c r="I284" s="52"/>
      <c r="J284" s="111"/>
      <c r="K284" s="823"/>
      <c r="L284" s="108"/>
      <c r="M284" s="201"/>
      <c r="N284" s="196"/>
      <c r="O284" s="69"/>
      <c r="P284" s="69"/>
      <c r="AH284" s="11">
        <v>0</v>
      </c>
    </row>
    <row r="285" spans="1:34" s="11" customFormat="1" ht="18.75" hidden="1" customHeight="1">
      <c r="A285" s="34" t="s">
        <v>191</v>
      </c>
      <c r="B285" s="34" t="s">
        <v>192</v>
      </c>
      <c r="C285" s="4"/>
      <c r="D285" s="1431"/>
      <c r="E285" s="1232"/>
      <c r="F285" s="1369" t="str">
        <f>INDEX(PT_DIFFERENTIATION_VTAR,MATCH(A285,PT_DIFFERENTIATION_VTAR_ID,0))</f>
        <v>Тарифы на услуги по передаче теплоносителя</v>
      </c>
      <c r="G285" s="1406" t="str">
        <f>INDEX(PT_DIFFERENTIATION_NTAR,MATCH(B285,PT_DIFFERENTIATION_NTAR_ID,0))</f>
        <v/>
      </c>
      <c r="H285" s="763"/>
      <c r="I285" s="948"/>
      <c r="J285" s="974"/>
      <c r="K285" s="366"/>
      <c r="L285" s="763" t="s">
        <v>310</v>
      </c>
      <c r="M285" s="201"/>
      <c r="N285" s="196"/>
      <c r="O285" s="69"/>
      <c r="P285" s="69"/>
      <c r="AH285" s="11">
        <v>0</v>
      </c>
    </row>
    <row r="286" spans="1:34" s="11" customFormat="1" ht="18.75" hidden="1" customHeight="1">
      <c r="A286" s="34"/>
      <c r="B286" s="34"/>
      <c r="C286" s="4" t="s">
        <v>1151</v>
      </c>
      <c r="D286" s="1431"/>
      <c r="E286" s="1232"/>
      <c r="F286" s="1369"/>
      <c r="G286" s="1406"/>
      <c r="H286" s="823"/>
      <c r="I286" s="52" t="s">
        <v>1150</v>
      </c>
      <c r="J286" s="111"/>
      <c r="K286" s="823"/>
      <c r="L286" s="108"/>
      <c r="M286" s="201"/>
      <c r="N286" s="196"/>
      <c r="O286" s="69"/>
      <c r="P286" s="69"/>
      <c r="AH286" s="11">
        <v>0</v>
      </c>
    </row>
    <row r="287" spans="1:34" s="11" customFormat="1" ht="0.75" hidden="1" customHeight="1">
      <c r="A287" s="34"/>
      <c r="B287" s="34"/>
      <c r="C287" s="4" t="s">
        <v>1158</v>
      </c>
      <c r="D287" s="1431"/>
      <c r="E287" s="1232"/>
      <c r="F287" s="1369"/>
      <c r="G287" s="227"/>
      <c r="H287" s="823"/>
      <c r="I287" s="52"/>
      <c r="J287" s="111"/>
      <c r="K287" s="823"/>
      <c r="L287" s="108"/>
      <c r="M287" s="201"/>
      <c r="N287" s="196"/>
      <c r="O287" s="69"/>
      <c r="P287" s="69"/>
      <c r="AH287" s="11">
        <v>0</v>
      </c>
    </row>
    <row r="288" spans="1:34" s="11" customFormat="1" ht="18.75" hidden="1" customHeight="1">
      <c r="A288" s="34" t="s">
        <v>197</v>
      </c>
      <c r="B288" s="34" t="s">
        <v>198</v>
      </c>
      <c r="C288" s="4"/>
      <c r="D288" s="1431"/>
      <c r="E288" s="1232"/>
      <c r="F288" s="136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06" t="str">
        <f>INDEX(PT_DIFFERENTIATION_NTAR,MATCH(B288,PT_DIFFERENTIATION_NTAR_ID,0))</f>
        <v/>
      </c>
      <c r="H288" s="763"/>
      <c r="I288" s="948"/>
      <c r="J288" s="974"/>
      <c r="K288" s="366"/>
      <c r="L288" s="763" t="s">
        <v>310</v>
      </c>
      <c r="M288" s="201"/>
      <c r="N288" s="196"/>
      <c r="O288" s="69"/>
      <c r="P288" s="69"/>
      <c r="AH288" s="11">
        <v>0</v>
      </c>
    </row>
    <row r="289" spans="1:34" s="11" customFormat="1" ht="18.75" hidden="1" customHeight="1">
      <c r="A289" s="34"/>
      <c r="B289" s="34"/>
      <c r="C289" s="4" t="s">
        <v>1151</v>
      </c>
      <c r="D289" s="1431"/>
      <c r="E289" s="1232"/>
      <c r="F289" s="1369"/>
      <c r="G289" s="1406"/>
      <c r="H289" s="823"/>
      <c r="I289" s="52" t="s">
        <v>1150</v>
      </c>
      <c r="J289" s="111"/>
      <c r="K289" s="823"/>
      <c r="L289" s="108"/>
      <c r="M289" s="201"/>
      <c r="N289" s="196"/>
      <c r="O289" s="69"/>
      <c r="P289" s="69"/>
      <c r="AH289" s="11">
        <v>0</v>
      </c>
    </row>
    <row r="290" spans="1:34" s="11" customFormat="1" ht="0.75" hidden="1" customHeight="1">
      <c r="A290" s="34"/>
      <c r="B290" s="34"/>
      <c r="C290" s="4" t="s">
        <v>1158</v>
      </c>
      <c r="D290" s="1431"/>
      <c r="E290" s="1232"/>
      <c r="F290" s="1369"/>
      <c r="G290" s="227"/>
      <c r="H290" s="823"/>
      <c r="I290" s="52"/>
      <c r="J290" s="111"/>
      <c r="K290" s="823"/>
      <c r="L290" s="108"/>
      <c r="M290" s="201"/>
      <c r="N290" s="196"/>
      <c r="O290" s="69"/>
      <c r="P290" s="69"/>
      <c r="AH290" s="11">
        <v>0</v>
      </c>
    </row>
    <row r="291" spans="1:34" s="11" customFormat="1" ht="18.75" hidden="1" customHeight="1">
      <c r="A291" s="34" t="s">
        <v>203</v>
      </c>
      <c r="B291" s="34" t="s">
        <v>204</v>
      </c>
      <c r="C291" s="4"/>
      <c r="D291" s="1431"/>
      <c r="E291" s="1232"/>
      <c r="F291" s="1369" t="str">
        <f>INDEX(PT_DIFFERENTIATION_VTAR,MATCH(A291,PT_DIFFERENTIATION_VTAR_ID,0))</f>
        <v>Плата за подключение (технологическое присоединение) к системе теплоснабжения</v>
      </c>
      <c r="G291" s="1406" t="str">
        <f>INDEX(PT_DIFFERENTIATION_NTAR,MATCH(B291,PT_DIFFERENTIATION_NTAR_ID,0))</f>
        <v/>
      </c>
      <c r="H291" s="763"/>
      <c r="I291" s="948"/>
      <c r="J291" s="974"/>
      <c r="K291" s="366"/>
      <c r="L291" s="763" t="s">
        <v>310</v>
      </c>
      <c r="M291" s="201"/>
      <c r="N291" s="196"/>
      <c r="O291" s="69"/>
      <c r="P291" s="69"/>
      <c r="AH291" s="11">
        <v>0</v>
      </c>
    </row>
    <row r="292" spans="1:34" s="11" customFormat="1" ht="18.75" hidden="1" customHeight="1">
      <c r="A292" s="34"/>
      <c r="B292" s="34"/>
      <c r="C292" s="4" t="s">
        <v>1151</v>
      </c>
      <c r="D292" s="1431"/>
      <c r="E292" s="1232"/>
      <c r="F292" s="1369"/>
      <c r="G292" s="1406"/>
      <c r="H292" s="823"/>
      <c r="I292" s="52" t="s">
        <v>1150</v>
      </c>
      <c r="J292" s="111"/>
      <c r="K292" s="823"/>
      <c r="L292" s="108"/>
      <c r="M292" s="201"/>
      <c r="N292" s="196"/>
      <c r="O292" s="69"/>
      <c r="P292" s="69"/>
      <c r="AH292" s="11">
        <v>0</v>
      </c>
    </row>
    <row r="293" spans="1:34" s="11" customFormat="1" ht="0.75" hidden="1" customHeight="1">
      <c r="A293" s="34"/>
      <c r="B293" s="34"/>
      <c r="C293" s="4" t="s">
        <v>1158</v>
      </c>
      <c r="D293" s="1431"/>
      <c r="E293" s="1232"/>
      <c r="F293" s="1369"/>
      <c r="G293" s="227"/>
      <c r="H293" s="823"/>
      <c r="I293" s="52"/>
      <c r="J293" s="111"/>
      <c r="K293" s="823"/>
      <c r="L293" s="108"/>
      <c r="M293" s="201"/>
      <c r="N293" s="196"/>
      <c r="O293" s="69"/>
      <c r="P293" s="69"/>
      <c r="AH293" s="11">
        <v>0</v>
      </c>
    </row>
    <row r="294" spans="1:34" s="11" customFormat="1" ht="18.75" hidden="1" customHeight="1">
      <c r="A294" s="34" t="s">
        <v>209</v>
      </c>
      <c r="B294" s="34" t="s">
        <v>210</v>
      </c>
      <c r="C294" s="4"/>
      <c r="D294" s="1431"/>
      <c r="E294" s="1232"/>
      <c r="F294" s="1369" t="str">
        <f>INDEX(PT_DIFFERENTIATION_VTAR,MATCH(A294,PT_DIFFERENTIATION_VTAR_ID,0))</f>
        <v>Плата за подключение (технологическое присоединение) к системе теплоснабжения (индивидуальная)</v>
      </c>
      <c r="G294" s="1406" t="str">
        <f>INDEX(PT_DIFFERENTIATION_NTAR,MATCH(B294,PT_DIFFERENTIATION_NTAR_ID,0))</f>
        <v/>
      </c>
      <c r="H294" s="763"/>
      <c r="I294" s="948"/>
      <c r="J294" s="974"/>
      <c r="K294" s="366"/>
      <c r="L294" s="763" t="s">
        <v>310</v>
      </c>
      <c r="M294" s="201"/>
      <c r="N294" s="196"/>
      <c r="O294" s="69"/>
      <c r="P294" s="69"/>
      <c r="AH294" s="11">
        <v>0</v>
      </c>
    </row>
    <row r="295" spans="1:34" s="11" customFormat="1" ht="18.75" hidden="1" customHeight="1">
      <c r="A295" s="34"/>
      <c r="B295" s="34"/>
      <c r="C295" s="4" t="s">
        <v>1151</v>
      </c>
      <c r="D295" s="1431"/>
      <c r="E295" s="1232"/>
      <c r="F295" s="1369"/>
      <c r="G295" s="1406"/>
      <c r="H295" s="823"/>
      <c r="I295" s="52" t="s">
        <v>1150</v>
      </c>
      <c r="J295" s="111"/>
      <c r="K295" s="823"/>
      <c r="L295" s="108"/>
      <c r="M295" s="201"/>
      <c r="N295" s="196"/>
      <c r="O295" s="69"/>
      <c r="P295" s="69"/>
      <c r="AH295" s="11">
        <v>0</v>
      </c>
    </row>
    <row r="296" spans="1:34" s="11" customFormat="1" ht="0.75" hidden="1" customHeight="1">
      <c r="A296" s="34"/>
      <c r="B296" s="34"/>
      <c r="C296" s="4" t="s">
        <v>1158</v>
      </c>
      <c r="D296" s="1431"/>
      <c r="E296" s="1232"/>
      <c r="F296" s="1369"/>
      <c r="G296" s="227"/>
      <c r="H296" s="823"/>
      <c r="I296" s="52"/>
      <c r="J296" s="111"/>
      <c r="K296" s="823"/>
      <c r="L296" s="108"/>
      <c r="M296" s="201"/>
      <c r="N296" s="196"/>
      <c r="O296" s="69"/>
      <c r="P296" s="69"/>
      <c r="AH296" s="11">
        <v>0</v>
      </c>
    </row>
    <row r="297" spans="1:34" s="11" customFormat="1" ht="18.75" hidden="1" customHeight="1">
      <c r="A297" s="34" t="s">
        <v>229</v>
      </c>
      <c r="B297" s="34" t="s">
        <v>230</v>
      </c>
      <c r="C297" s="4"/>
      <c r="D297" s="1431"/>
      <c r="E297" s="1232"/>
      <c r="F297" s="1369" t="str">
        <f>INDEX(PT_DIFFERENTIATION_VTAR,MATCH(A297,PT_DIFFERENTIATION_VTAR_ID,0))</f>
        <v>Тариф на питьевую воду (питьевое водоснабжение)</v>
      </c>
      <c r="G297" s="1406" t="str">
        <f>INDEX(PT_DIFFERENTIATION_NTAR,MATCH(B297,PT_DIFFERENTIATION_NTAR_ID,0))</f>
        <v/>
      </c>
      <c r="H297" s="763"/>
      <c r="I297" s="948"/>
      <c r="J297" s="974"/>
      <c r="K297" s="366"/>
      <c r="L297" s="763" t="s">
        <v>310</v>
      </c>
      <c r="M297" s="201"/>
      <c r="N297" s="196"/>
      <c r="O297" s="69"/>
      <c r="P297" s="69"/>
      <c r="AH297" s="11">
        <v>0</v>
      </c>
    </row>
    <row r="298" spans="1:34" s="11" customFormat="1" ht="18.75" hidden="1" customHeight="1">
      <c r="A298" s="34"/>
      <c r="B298" s="34"/>
      <c r="C298" s="4" t="s">
        <v>1151</v>
      </c>
      <c r="D298" s="1431"/>
      <c r="E298" s="1232"/>
      <c r="F298" s="1369"/>
      <c r="G298" s="1406"/>
      <c r="H298" s="823"/>
      <c r="I298" s="52" t="s">
        <v>1150</v>
      </c>
      <c r="J298" s="111"/>
      <c r="K298" s="823"/>
      <c r="L298" s="108"/>
      <c r="M298" s="201"/>
      <c r="N298" s="196"/>
      <c r="O298" s="69"/>
      <c r="P298" s="69"/>
      <c r="AH298" s="11">
        <v>0</v>
      </c>
    </row>
    <row r="299" spans="1:34" s="11" customFormat="1" ht="0.75" hidden="1" customHeight="1">
      <c r="A299" s="34"/>
      <c r="B299" s="34"/>
      <c r="C299" s="4" t="s">
        <v>1158</v>
      </c>
      <c r="D299" s="1431"/>
      <c r="E299" s="1232"/>
      <c r="F299" s="1369"/>
      <c r="G299" s="227"/>
      <c r="H299" s="823"/>
      <c r="I299" s="52"/>
      <c r="J299" s="111"/>
      <c r="K299" s="823"/>
      <c r="L299" s="108"/>
      <c r="M299" s="201"/>
      <c r="N299" s="196"/>
      <c r="O299" s="69"/>
      <c r="P299" s="69"/>
      <c r="AH299" s="11">
        <v>0</v>
      </c>
    </row>
    <row r="300" spans="1:34" s="11" customFormat="1" ht="18.75" hidden="1" customHeight="1">
      <c r="A300" s="34" t="s">
        <v>234</v>
      </c>
      <c r="B300" s="34" t="s">
        <v>235</v>
      </c>
      <c r="C300" s="4"/>
      <c r="D300" s="1431"/>
      <c r="E300" s="1232"/>
      <c r="F300" s="1369" t="str">
        <f>INDEX(PT_DIFFERENTIATION_VTAR,MATCH(A300,PT_DIFFERENTIATION_VTAR_ID,0))</f>
        <v>Тариф на техническую воду</v>
      </c>
      <c r="G300" s="1406" t="str">
        <f>INDEX(PT_DIFFERENTIATION_NTAR,MATCH(B300,PT_DIFFERENTIATION_NTAR_ID,0))</f>
        <v/>
      </c>
      <c r="H300" s="763"/>
      <c r="I300" s="948"/>
      <c r="J300" s="974"/>
      <c r="K300" s="366"/>
      <c r="L300" s="763" t="s">
        <v>310</v>
      </c>
      <c r="M300" s="201"/>
      <c r="N300" s="196"/>
      <c r="O300" s="69"/>
      <c r="P300" s="69"/>
      <c r="AH300" s="11">
        <v>0</v>
      </c>
    </row>
    <row r="301" spans="1:34" s="11" customFormat="1" ht="18.75" hidden="1" customHeight="1">
      <c r="A301" s="34"/>
      <c r="B301" s="34"/>
      <c r="C301" s="4" t="s">
        <v>1151</v>
      </c>
      <c r="D301" s="1431"/>
      <c r="E301" s="1232"/>
      <c r="F301" s="1369"/>
      <c r="G301" s="1406"/>
      <c r="H301" s="823"/>
      <c r="I301" s="52" t="s">
        <v>1150</v>
      </c>
      <c r="J301" s="111"/>
      <c r="K301" s="823"/>
      <c r="L301" s="108"/>
      <c r="M301" s="201"/>
      <c r="N301" s="196"/>
      <c r="O301" s="69"/>
      <c r="P301" s="69"/>
      <c r="AH301" s="11">
        <v>0</v>
      </c>
    </row>
    <row r="302" spans="1:34" s="11" customFormat="1" ht="0.75" hidden="1" customHeight="1">
      <c r="A302" s="34"/>
      <c r="B302" s="34"/>
      <c r="C302" s="4" t="s">
        <v>1158</v>
      </c>
      <c r="D302" s="1431"/>
      <c r="E302" s="1232"/>
      <c r="F302" s="1369"/>
      <c r="G302" s="227"/>
      <c r="H302" s="823"/>
      <c r="I302" s="52"/>
      <c r="J302" s="111"/>
      <c r="K302" s="823"/>
      <c r="L302" s="108"/>
      <c r="M302" s="201"/>
      <c r="N302" s="196"/>
      <c r="O302" s="69"/>
      <c r="P302" s="69"/>
      <c r="AH302" s="11">
        <v>0</v>
      </c>
    </row>
    <row r="303" spans="1:34" s="11" customFormat="1" ht="18.75" hidden="1" customHeight="1">
      <c r="A303" s="34" t="s">
        <v>239</v>
      </c>
      <c r="B303" s="34" t="s">
        <v>240</v>
      </c>
      <c r="C303" s="4"/>
      <c r="D303" s="1431"/>
      <c r="E303" s="1232"/>
      <c r="F303" s="1369" t="str">
        <f>INDEX(PT_DIFFERENTIATION_VTAR,MATCH(A303,PT_DIFFERENTIATION_VTAR_ID,0))</f>
        <v>Тариф на транспортировку воды</v>
      </c>
      <c r="G303" s="1406" t="str">
        <f>INDEX(PT_DIFFERENTIATION_NTAR,MATCH(B303,PT_DIFFERENTIATION_NTAR_ID,0))</f>
        <v/>
      </c>
      <c r="H303" s="763"/>
      <c r="I303" s="948"/>
      <c r="J303" s="974"/>
      <c r="K303" s="366"/>
      <c r="L303" s="763" t="s">
        <v>310</v>
      </c>
      <c r="M303" s="201"/>
      <c r="N303" s="196"/>
      <c r="O303" s="69"/>
      <c r="P303" s="69"/>
      <c r="AH303" s="11">
        <v>0</v>
      </c>
    </row>
    <row r="304" spans="1:34" s="11" customFormat="1" ht="18.75" hidden="1" customHeight="1">
      <c r="A304" s="34"/>
      <c r="B304" s="34"/>
      <c r="C304" s="4" t="s">
        <v>1151</v>
      </c>
      <c r="D304" s="1431"/>
      <c r="E304" s="1232"/>
      <c r="F304" s="1369"/>
      <c r="G304" s="1406"/>
      <c r="H304" s="823"/>
      <c r="I304" s="52" t="s">
        <v>1150</v>
      </c>
      <c r="J304" s="111"/>
      <c r="K304" s="823"/>
      <c r="L304" s="108"/>
      <c r="M304" s="201"/>
      <c r="N304" s="196"/>
      <c r="O304" s="69"/>
      <c r="P304" s="69"/>
      <c r="AH304" s="11">
        <v>0</v>
      </c>
    </row>
    <row r="305" spans="1:34" s="11" customFormat="1" ht="0.75" hidden="1" customHeight="1">
      <c r="A305" s="34"/>
      <c r="B305" s="34"/>
      <c r="C305" s="4" t="s">
        <v>1158</v>
      </c>
      <c r="D305" s="1431"/>
      <c r="E305" s="1232"/>
      <c r="F305" s="1369"/>
      <c r="G305" s="227"/>
      <c r="H305" s="823"/>
      <c r="I305" s="52"/>
      <c r="J305" s="111"/>
      <c r="K305" s="823"/>
      <c r="L305" s="108"/>
      <c r="M305" s="201"/>
      <c r="N305" s="196"/>
      <c r="O305" s="69"/>
      <c r="P305" s="69"/>
      <c r="AH305" s="11">
        <v>0</v>
      </c>
    </row>
    <row r="306" spans="1:34" s="11" customFormat="1" ht="18.75" hidden="1" customHeight="1">
      <c r="A306" s="34" t="s">
        <v>244</v>
      </c>
      <c r="B306" s="34" t="s">
        <v>245</v>
      </c>
      <c r="C306" s="4"/>
      <c r="D306" s="1431"/>
      <c r="E306" s="1232"/>
      <c r="F306" s="1369" t="str">
        <f>INDEX(PT_DIFFERENTIATION_VTAR,MATCH(A306,PT_DIFFERENTIATION_VTAR_ID,0))</f>
        <v>Тариф на подвоз воды</v>
      </c>
      <c r="G306" s="1406" t="str">
        <f>INDEX(PT_DIFFERENTIATION_NTAR,MATCH(B306,PT_DIFFERENTIATION_NTAR_ID,0))</f>
        <v/>
      </c>
      <c r="H306" s="763"/>
      <c r="I306" s="948"/>
      <c r="J306" s="974"/>
      <c r="K306" s="366"/>
      <c r="L306" s="763" t="s">
        <v>310</v>
      </c>
      <c r="M306" s="201"/>
      <c r="N306" s="196"/>
      <c r="O306" s="69"/>
      <c r="P306" s="69"/>
      <c r="AH306" s="11">
        <v>0</v>
      </c>
    </row>
    <row r="307" spans="1:34" s="11" customFormat="1" ht="18.75" hidden="1" customHeight="1">
      <c r="A307" s="34"/>
      <c r="B307" s="34"/>
      <c r="C307" s="4" t="s">
        <v>1151</v>
      </c>
      <c r="D307" s="1431"/>
      <c r="E307" s="1232"/>
      <c r="F307" s="1369"/>
      <c r="G307" s="1406"/>
      <c r="H307" s="823"/>
      <c r="I307" s="52" t="s">
        <v>1150</v>
      </c>
      <c r="J307" s="111"/>
      <c r="K307" s="823"/>
      <c r="L307" s="108"/>
      <c r="M307" s="201"/>
      <c r="N307" s="196"/>
      <c r="O307" s="69"/>
      <c r="P307" s="69"/>
      <c r="AH307" s="11">
        <v>0</v>
      </c>
    </row>
    <row r="308" spans="1:34" s="11" customFormat="1" ht="0.75" hidden="1" customHeight="1">
      <c r="A308" s="34"/>
      <c r="B308" s="34"/>
      <c r="C308" s="4" t="s">
        <v>1158</v>
      </c>
      <c r="D308" s="1431"/>
      <c r="E308" s="1232"/>
      <c r="F308" s="1369"/>
      <c r="G308" s="227"/>
      <c r="H308" s="823"/>
      <c r="I308" s="52"/>
      <c r="J308" s="111"/>
      <c r="K308" s="823"/>
      <c r="L308" s="108"/>
      <c r="M308" s="201"/>
      <c r="N308" s="196"/>
      <c r="O308" s="69"/>
      <c r="P308" s="69"/>
      <c r="AH308" s="11">
        <v>0</v>
      </c>
    </row>
    <row r="309" spans="1:34" s="11" customFormat="1" ht="18.75" hidden="1" customHeight="1">
      <c r="A309" s="34" t="s">
        <v>249</v>
      </c>
      <c r="B309" s="34" t="s">
        <v>250</v>
      </c>
      <c r="C309" s="4"/>
      <c r="D309" s="1431"/>
      <c r="E309" s="1232"/>
      <c r="F309" s="136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06" t="str">
        <f>INDEX(PT_DIFFERENTIATION_NTAR,MATCH(B309,PT_DIFFERENTIATION_NTAR_ID,0))</f>
        <v/>
      </c>
      <c r="H309" s="763"/>
      <c r="I309" s="948"/>
      <c r="J309" s="974"/>
      <c r="K309" s="366"/>
      <c r="L309" s="763" t="s">
        <v>310</v>
      </c>
      <c r="M309" s="201"/>
      <c r="N309" s="196"/>
      <c r="O309" s="69"/>
      <c r="P309" s="69"/>
      <c r="AH309" s="11">
        <v>0</v>
      </c>
    </row>
    <row r="310" spans="1:34" s="11" customFormat="1" ht="18.75" hidden="1" customHeight="1">
      <c r="A310" s="34"/>
      <c r="B310" s="34"/>
      <c r="C310" s="4" t="s">
        <v>1151</v>
      </c>
      <c r="D310" s="1431"/>
      <c r="E310" s="1232"/>
      <c r="F310" s="1369"/>
      <c r="G310" s="1406"/>
      <c r="H310" s="823"/>
      <c r="I310" s="52" t="s">
        <v>1150</v>
      </c>
      <c r="J310" s="111"/>
      <c r="K310" s="823"/>
      <c r="L310" s="108"/>
      <c r="M310" s="201"/>
      <c r="N310" s="196"/>
      <c r="O310" s="69"/>
      <c r="P310" s="69"/>
      <c r="AH310" s="11">
        <v>0</v>
      </c>
    </row>
    <row r="311" spans="1:34" s="11" customFormat="1" ht="0.75" hidden="1" customHeight="1">
      <c r="A311" s="34"/>
      <c r="B311" s="34"/>
      <c r="C311" s="4" t="s">
        <v>1158</v>
      </c>
      <c r="D311" s="1431"/>
      <c r="E311" s="1232"/>
      <c r="F311" s="1369"/>
      <c r="G311" s="227"/>
      <c r="H311" s="823"/>
      <c r="I311" s="52"/>
      <c r="J311" s="111"/>
      <c r="K311" s="823"/>
      <c r="L311" s="108"/>
      <c r="M311" s="201"/>
      <c r="N311" s="196"/>
      <c r="O311" s="69"/>
      <c r="P311" s="69"/>
      <c r="AH311" s="11">
        <v>0</v>
      </c>
    </row>
    <row r="312" spans="1:34" s="11" customFormat="1" ht="18.75" hidden="1" customHeight="1">
      <c r="A312" s="34" t="s">
        <v>254</v>
      </c>
      <c r="B312" s="34" t="s">
        <v>255</v>
      </c>
      <c r="C312" s="4"/>
      <c r="D312" s="1431"/>
      <c r="E312" s="1232"/>
      <c r="F312" s="1369" t="str">
        <f>INDEX(PT_DIFFERENTIATION_VTAR,MATCH(A312,PT_DIFFERENTIATION_VTAR_ID,0))</f>
        <v>Тариф на горячую воду (горячее водоснабжение)</v>
      </c>
      <c r="G312" s="1406" t="str">
        <f>INDEX(PT_DIFFERENTIATION_NTAR,MATCH(B312,PT_DIFFERENTIATION_NTAR_ID,0))</f>
        <v/>
      </c>
      <c r="H312" s="763"/>
      <c r="I312" s="948"/>
      <c r="J312" s="974"/>
      <c r="K312" s="366"/>
      <c r="L312" s="763" t="s">
        <v>310</v>
      </c>
      <c r="M312" s="201"/>
      <c r="N312" s="196"/>
      <c r="O312" s="69"/>
      <c r="P312" s="69"/>
      <c r="AH312" s="11">
        <v>0</v>
      </c>
    </row>
    <row r="313" spans="1:34" s="11" customFormat="1" ht="18.75" hidden="1" customHeight="1">
      <c r="A313" s="34"/>
      <c r="B313" s="34"/>
      <c r="C313" s="4" t="s">
        <v>1151</v>
      </c>
      <c r="D313" s="1431"/>
      <c r="E313" s="1232"/>
      <c r="F313" s="1369"/>
      <c r="G313" s="1406"/>
      <c r="H313" s="823"/>
      <c r="I313" s="52" t="s">
        <v>1150</v>
      </c>
      <c r="J313" s="111"/>
      <c r="K313" s="823"/>
      <c r="L313" s="108"/>
      <c r="M313" s="201"/>
      <c r="N313" s="196"/>
      <c r="O313" s="69"/>
      <c r="P313" s="69"/>
      <c r="AH313" s="11">
        <v>0</v>
      </c>
    </row>
    <row r="314" spans="1:34" s="11" customFormat="1" ht="0.75" hidden="1" customHeight="1">
      <c r="A314" s="34"/>
      <c r="B314" s="34"/>
      <c r="C314" s="4" t="s">
        <v>1158</v>
      </c>
      <c r="D314" s="1431"/>
      <c r="E314" s="1232"/>
      <c r="F314" s="1369"/>
      <c r="G314" s="227"/>
      <c r="H314" s="823"/>
      <c r="I314" s="52"/>
      <c r="J314" s="111"/>
      <c r="K314" s="823"/>
      <c r="L314" s="108"/>
      <c r="M314" s="201"/>
      <c r="N314" s="196"/>
      <c r="O314" s="69"/>
      <c r="P314" s="69"/>
      <c r="AH314" s="11">
        <v>0</v>
      </c>
    </row>
    <row r="315" spans="1:34" s="11" customFormat="1" ht="18.75" hidden="1" customHeight="1">
      <c r="A315" s="34" t="s">
        <v>259</v>
      </c>
      <c r="B315" s="34" t="s">
        <v>260</v>
      </c>
      <c r="C315" s="4"/>
      <c r="D315" s="1431"/>
      <c r="E315" s="1232"/>
      <c r="F315" s="1369" t="str">
        <f>INDEX(PT_DIFFERENTIATION_VTAR,MATCH(A315,PT_DIFFERENTIATION_VTAR_ID,0))</f>
        <v>Тариф на транспортировку горячей воды</v>
      </c>
      <c r="G315" s="1406" t="str">
        <f>INDEX(PT_DIFFERENTIATION_NTAR,MATCH(B315,PT_DIFFERENTIATION_NTAR_ID,0))</f>
        <v/>
      </c>
      <c r="H315" s="763"/>
      <c r="I315" s="948"/>
      <c r="J315" s="974"/>
      <c r="K315" s="366"/>
      <c r="L315" s="763" t="s">
        <v>310</v>
      </c>
      <c r="M315" s="201"/>
      <c r="N315" s="196"/>
      <c r="O315" s="69"/>
      <c r="P315" s="69"/>
      <c r="AH315" s="11">
        <v>0</v>
      </c>
    </row>
    <row r="316" spans="1:34" s="11" customFormat="1" ht="18.75" hidden="1" customHeight="1">
      <c r="A316" s="34"/>
      <c r="B316" s="34"/>
      <c r="C316" s="4" t="s">
        <v>1151</v>
      </c>
      <c r="D316" s="1431"/>
      <c r="E316" s="1232"/>
      <c r="F316" s="1369"/>
      <c r="G316" s="1406"/>
      <c r="H316" s="823"/>
      <c r="I316" s="52" t="s">
        <v>1150</v>
      </c>
      <c r="J316" s="111"/>
      <c r="K316" s="823"/>
      <c r="L316" s="108"/>
      <c r="M316" s="201"/>
      <c r="N316" s="196"/>
      <c r="O316" s="69"/>
      <c r="P316" s="69"/>
      <c r="AH316" s="11">
        <v>0</v>
      </c>
    </row>
    <row r="317" spans="1:34" s="11" customFormat="1" ht="0.75" hidden="1" customHeight="1">
      <c r="A317" s="34"/>
      <c r="B317" s="34"/>
      <c r="C317" s="4" t="s">
        <v>1158</v>
      </c>
      <c r="D317" s="1431"/>
      <c r="E317" s="1232"/>
      <c r="F317" s="1369"/>
      <c r="G317" s="227"/>
      <c r="H317" s="823"/>
      <c r="I317" s="52"/>
      <c r="J317" s="111"/>
      <c r="K317" s="823"/>
      <c r="L317" s="108"/>
      <c r="M317" s="201"/>
      <c r="N317" s="196"/>
      <c r="O317" s="69"/>
      <c r="P317" s="69"/>
      <c r="AH317" s="11">
        <v>0</v>
      </c>
    </row>
    <row r="318" spans="1:34" s="11" customFormat="1" ht="18.75" hidden="1" customHeight="1">
      <c r="A318" s="34" t="s">
        <v>264</v>
      </c>
      <c r="B318" s="34" t="s">
        <v>265</v>
      </c>
      <c r="C318" s="4"/>
      <c r="D318" s="1431"/>
      <c r="E318" s="1232"/>
      <c r="F318" s="1369"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06" t="str">
        <f>INDEX(PT_DIFFERENTIATION_NTAR,MATCH(B318,PT_DIFFERENTIATION_NTAR_ID,0))</f>
        <v/>
      </c>
      <c r="H318" s="763"/>
      <c r="I318" s="948"/>
      <c r="J318" s="974"/>
      <c r="K318" s="366"/>
      <c r="L318" s="763" t="s">
        <v>310</v>
      </c>
      <c r="M318" s="201"/>
      <c r="N318" s="196"/>
      <c r="O318" s="69"/>
      <c r="P318" s="69"/>
      <c r="AH318" s="11">
        <v>0</v>
      </c>
    </row>
    <row r="319" spans="1:34" s="11" customFormat="1" ht="18.75" hidden="1" customHeight="1">
      <c r="A319" s="34"/>
      <c r="B319" s="34"/>
      <c r="C319" s="4" t="s">
        <v>1151</v>
      </c>
      <c r="D319" s="1431"/>
      <c r="E319" s="1232"/>
      <c r="F319" s="1369"/>
      <c r="G319" s="1406"/>
      <c r="H319" s="823"/>
      <c r="I319" s="52" t="s">
        <v>1150</v>
      </c>
      <c r="J319" s="111"/>
      <c r="K319" s="823"/>
      <c r="L319" s="108"/>
      <c r="M319" s="201"/>
      <c r="N319" s="196"/>
      <c r="O319" s="69"/>
      <c r="P319" s="69"/>
      <c r="AH319" s="11">
        <v>0</v>
      </c>
    </row>
    <row r="320" spans="1:34" s="11" customFormat="1" ht="0.75" hidden="1" customHeight="1">
      <c r="A320" s="34"/>
      <c r="B320" s="34"/>
      <c r="C320" s="4" t="s">
        <v>1158</v>
      </c>
      <c r="D320" s="1431"/>
      <c r="E320" s="1232"/>
      <c r="F320" s="1369"/>
      <c r="G320" s="227"/>
      <c r="H320" s="823"/>
      <c r="I320" s="52"/>
      <c r="J320" s="111"/>
      <c r="K320" s="823"/>
      <c r="L320" s="108"/>
      <c r="M320" s="201"/>
      <c r="N320" s="196"/>
      <c r="O320" s="69"/>
      <c r="P320" s="69"/>
      <c r="AH320" s="11">
        <v>0</v>
      </c>
    </row>
    <row r="321" spans="1:34" s="11" customFormat="1" ht="18.75" hidden="1" customHeight="1">
      <c r="A321" s="34" t="s">
        <v>269</v>
      </c>
      <c r="B321" s="34" t="s">
        <v>270</v>
      </c>
      <c r="C321" s="4"/>
      <c r="D321" s="1431"/>
      <c r="E321" s="1232"/>
      <c r="F321" s="1369" t="str">
        <f>INDEX(PT_DIFFERENTIATION_VTAR,MATCH(A321,PT_DIFFERENTIATION_VTAR_ID,0))</f>
        <v>Тариф на водоотведение</v>
      </c>
      <c r="G321" s="1406" t="str">
        <f>INDEX(PT_DIFFERENTIATION_NTAR,MATCH(B321,PT_DIFFERENTIATION_NTAR_ID,0))</f>
        <v/>
      </c>
      <c r="H321" s="763"/>
      <c r="I321" s="948"/>
      <c r="J321" s="974"/>
      <c r="K321" s="366"/>
      <c r="L321" s="763" t="s">
        <v>310</v>
      </c>
      <c r="M321" s="201"/>
      <c r="N321" s="196"/>
      <c r="O321" s="69"/>
      <c r="P321" s="69"/>
      <c r="AH321" s="11">
        <v>0</v>
      </c>
    </row>
    <row r="322" spans="1:34" s="11" customFormat="1" ht="18.75" hidden="1" customHeight="1">
      <c r="A322" s="34"/>
      <c r="B322" s="34"/>
      <c r="C322" s="4" t="s">
        <v>1151</v>
      </c>
      <c r="D322" s="1431"/>
      <c r="E322" s="1232"/>
      <c r="F322" s="1369"/>
      <c r="G322" s="1406"/>
      <c r="H322" s="823"/>
      <c r="I322" s="52" t="s">
        <v>1150</v>
      </c>
      <c r="J322" s="111"/>
      <c r="K322" s="823"/>
      <c r="L322" s="108"/>
      <c r="M322" s="201"/>
      <c r="N322" s="196"/>
      <c r="O322" s="69"/>
      <c r="P322" s="69"/>
      <c r="AH322" s="11">
        <v>0</v>
      </c>
    </row>
    <row r="323" spans="1:34" s="11" customFormat="1" ht="0.75" hidden="1" customHeight="1">
      <c r="A323" s="34"/>
      <c r="B323" s="34"/>
      <c r="C323" s="4" t="s">
        <v>1158</v>
      </c>
      <c r="D323" s="1431"/>
      <c r="E323" s="1232"/>
      <c r="F323" s="1369"/>
      <c r="G323" s="227"/>
      <c r="H323" s="823"/>
      <c r="I323" s="52"/>
      <c r="J323" s="111"/>
      <c r="K323" s="823"/>
      <c r="L323" s="108"/>
      <c r="M323" s="201"/>
      <c r="N323" s="196"/>
      <c r="O323" s="69"/>
      <c r="P323" s="69"/>
      <c r="AH323" s="11">
        <v>0</v>
      </c>
    </row>
    <row r="324" spans="1:34" s="11" customFormat="1" ht="18.75" hidden="1" customHeight="1">
      <c r="A324" s="34" t="s">
        <v>274</v>
      </c>
      <c r="B324" s="34" t="s">
        <v>275</v>
      </c>
      <c r="C324" s="4"/>
      <c r="D324" s="1431"/>
      <c r="E324" s="1232"/>
      <c r="F324" s="1369" t="str">
        <f>INDEX(PT_DIFFERENTIATION_VTAR,MATCH(A324,PT_DIFFERENTIATION_VTAR_ID,0))</f>
        <v>Тариф на транспортировку сточных вод</v>
      </c>
      <c r="G324" s="1406" t="str">
        <f>INDEX(PT_DIFFERENTIATION_NTAR,MATCH(B324,PT_DIFFERENTIATION_NTAR_ID,0))</f>
        <v/>
      </c>
      <c r="H324" s="763"/>
      <c r="I324" s="948"/>
      <c r="J324" s="974"/>
      <c r="K324" s="366"/>
      <c r="L324" s="763" t="s">
        <v>310</v>
      </c>
      <c r="M324" s="201"/>
      <c r="N324" s="196"/>
      <c r="O324" s="69"/>
      <c r="P324" s="69"/>
      <c r="AH324" s="11">
        <v>0</v>
      </c>
    </row>
    <row r="325" spans="1:34" s="11" customFormat="1" ht="18.75" hidden="1" customHeight="1">
      <c r="A325" s="34"/>
      <c r="B325" s="34"/>
      <c r="C325" s="4" t="s">
        <v>1151</v>
      </c>
      <c r="D325" s="1431"/>
      <c r="E325" s="1232"/>
      <c r="F325" s="1369"/>
      <c r="G325" s="1406"/>
      <c r="H325" s="823"/>
      <c r="I325" s="52" t="s">
        <v>1150</v>
      </c>
      <c r="J325" s="111"/>
      <c r="K325" s="823"/>
      <c r="L325" s="108"/>
      <c r="M325" s="201"/>
      <c r="N325" s="196"/>
      <c r="O325" s="69"/>
      <c r="P325" s="69"/>
      <c r="AH325" s="11">
        <v>0</v>
      </c>
    </row>
    <row r="326" spans="1:34" s="11" customFormat="1" ht="0.75" hidden="1" customHeight="1">
      <c r="A326" s="34"/>
      <c r="B326" s="34"/>
      <c r="C326" s="4" t="s">
        <v>1158</v>
      </c>
      <c r="D326" s="1431"/>
      <c r="E326" s="1232"/>
      <c r="F326" s="1369"/>
      <c r="G326" s="227"/>
      <c r="H326" s="823"/>
      <c r="I326" s="52"/>
      <c r="J326" s="111"/>
      <c r="K326" s="823"/>
      <c r="L326" s="108"/>
      <c r="M326" s="201"/>
      <c r="N326" s="196"/>
      <c r="O326" s="69"/>
      <c r="P326" s="69"/>
      <c r="AH326" s="11">
        <v>0</v>
      </c>
    </row>
    <row r="327" spans="1:34" s="11" customFormat="1" ht="18.75" hidden="1" customHeight="1">
      <c r="A327" s="34" t="s">
        <v>279</v>
      </c>
      <c r="B327" s="34" t="s">
        <v>280</v>
      </c>
      <c r="C327" s="4"/>
      <c r="D327" s="1431"/>
      <c r="E327" s="1232"/>
      <c r="F327" s="1369" t="str">
        <f>INDEX(PT_DIFFERENTIATION_VTAR,MATCH(A327,PT_DIFFERENTIATION_VTAR_ID,0))</f>
        <v>Тариф на подключение (технологическое присоединение) к централизованной системе водоотведения</v>
      </c>
      <c r="G327" s="1406" t="str">
        <f>INDEX(PT_DIFFERENTIATION_NTAR,MATCH(B327,PT_DIFFERENTIATION_NTAR_ID,0))</f>
        <v/>
      </c>
      <c r="H327" s="763"/>
      <c r="I327" s="948"/>
      <c r="J327" s="974"/>
      <c r="K327" s="366"/>
      <c r="L327" s="763" t="s">
        <v>310</v>
      </c>
      <c r="M327" s="201"/>
      <c r="N327" s="196"/>
      <c r="O327" s="69"/>
      <c r="P327" s="69"/>
      <c r="AH327" s="11">
        <v>0</v>
      </c>
    </row>
    <row r="328" spans="1:34" s="11" customFormat="1" ht="18.75" hidden="1" customHeight="1">
      <c r="A328" s="34"/>
      <c r="B328" s="34"/>
      <c r="C328" s="4" t="s">
        <v>1151</v>
      </c>
      <c r="D328" s="1431"/>
      <c r="E328" s="1232"/>
      <c r="F328" s="1369"/>
      <c r="G328" s="1406"/>
      <c r="H328" s="823"/>
      <c r="I328" s="52" t="s">
        <v>1150</v>
      </c>
      <c r="J328" s="111"/>
      <c r="K328" s="823"/>
      <c r="L328" s="108"/>
      <c r="M328" s="201"/>
      <c r="N328" s="196"/>
      <c r="O328" s="69"/>
      <c r="P328" s="69"/>
      <c r="AH328" s="11">
        <v>0</v>
      </c>
    </row>
    <row r="329" spans="1:34" s="11" customFormat="1" ht="1.1499999999999999" customHeight="1">
      <c r="A329" s="34"/>
      <c r="B329" s="34"/>
      <c r="C329" s="4" t="s">
        <v>1158</v>
      </c>
      <c r="D329" s="1431"/>
      <c r="E329" s="1232"/>
      <c r="F329" s="1369"/>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74"/>
      <c r="G331" s="1274"/>
      <c r="H331" s="1274"/>
      <c r="I331" s="1274"/>
      <c r="J331" s="1274"/>
      <c r="K331" s="1274"/>
      <c r="L331" s="1274"/>
      <c r="M331" s="1274"/>
      <c r="AH331" s="11">
        <v>25</v>
      </c>
    </row>
    <row r="332" spans="1:34" ht="14.25" hidden="1" customHeight="1">
      <c r="A332" s="917" t="s">
        <v>82</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8DAF4-4E24-8F6A-4963-7385FD01223E}">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5703125" style="11" hidden="1"/>
  </cols>
  <sheetData>
    <row r="1" spans="1:18" ht="22.5" hidden="1" customHeight="1">
      <c r="N1" s="150"/>
      <c r="O1" s="150"/>
      <c r="Q1" s="150"/>
      <c r="R1" s="11" t="s">
        <v>14</v>
      </c>
    </row>
    <row r="2" spans="1:18" s="11" customFormat="1" ht="18.75" hidden="1" customHeight="1">
      <c r="A2" s="34"/>
      <c r="B2" s="63"/>
      <c r="C2" s="939" t="s">
        <v>104</v>
      </c>
      <c r="D2" s="64"/>
      <c r="E2" s="497"/>
      <c r="F2" s="151"/>
      <c r="G2" s="117"/>
      <c r="I2" s="69"/>
      <c r="J2" s="69"/>
      <c r="R2" s="11">
        <v>0</v>
      </c>
    </row>
    <row r="3" spans="1:18" ht="14.25" hidden="1" customHeight="1">
      <c r="R3" s="11">
        <v>0</v>
      </c>
    </row>
    <row r="4" spans="1:18" ht="6.4" customHeight="1">
      <c r="C4" s="28"/>
      <c r="D4" s="10"/>
      <c r="E4" s="10"/>
      <c r="F4" s="10"/>
      <c r="G4" s="20"/>
      <c r="H4" s="20"/>
      <c r="R4" s="11">
        <v>6</v>
      </c>
    </row>
    <row r="5" spans="1:18" ht="34.5" customHeight="1">
      <c r="C5" s="28"/>
      <c r="D5" s="119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1199"/>
      <c r="F5" s="1199"/>
      <c r="G5" s="1200"/>
      <c r="H5" s="156"/>
      <c r="R5" s="11">
        <v>33</v>
      </c>
    </row>
    <row r="6" spans="1:18" s="11" customFormat="1" ht="18" customHeight="1">
      <c r="A6" s="33"/>
      <c r="B6" s="63"/>
      <c r="C6" s="28"/>
      <c r="D6" s="1251" t="str">
        <f>IF(org=0,"Не определено",org)</f>
        <v>ООО "Инженерные сети"</v>
      </c>
      <c r="E6" s="1252"/>
      <c r="F6" s="1252"/>
      <c r="G6" s="1253"/>
      <c r="H6" s="156"/>
      <c r="J6" s="69"/>
      <c r="K6" s="69"/>
      <c r="R6" s="11">
        <v>17</v>
      </c>
    </row>
    <row r="7" spans="1:18" ht="14.65" customHeight="1">
      <c r="C7" s="28"/>
      <c r="D7" s="10"/>
      <c r="E7" s="14"/>
      <c r="F7" s="14"/>
      <c r="G7" s="435"/>
      <c r="H7" s="101"/>
      <c r="R7" s="11">
        <v>14</v>
      </c>
    </row>
    <row r="8" spans="1:18" ht="14.65" customHeight="1">
      <c r="C8" s="28"/>
      <c r="D8" s="1237" t="s">
        <v>304</v>
      </c>
      <c r="E8" s="1237"/>
      <c r="F8" s="1237"/>
      <c r="G8" s="1237"/>
      <c r="H8" s="1379" t="s">
        <v>305</v>
      </c>
      <c r="R8" s="11">
        <v>14</v>
      </c>
    </row>
    <row r="9" spans="1:18" ht="24" customHeight="1">
      <c r="C9" s="28"/>
      <c r="D9" s="36" t="s">
        <v>88</v>
      </c>
      <c r="E9" s="39" t="s">
        <v>306</v>
      </c>
      <c r="F9" s="39" t="s">
        <v>307</v>
      </c>
      <c r="G9" s="39" t="s">
        <v>394</v>
      </c>
      <c r="H9" s="1379"/>
      <c r="R9" s="11">
        <v>23</v>
      </c>
    </row>
    <row r="10" spans="1:18" ht="14.65" customHeight="1">
      <c r="A10" s="34"/>
      <c r="C10" s="28"/>
      <c r="D10" s="64" t="s">
        <v>115</v>
      </c>
      <c r="E10" s="101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51"/>
      <c r="G10" s="117"/>
      <c r="H10" s="1192" t="s">
        <v>1159</v>
      </c>
      <c r="R10" s="11">
        <v>14</v>
      </c>
    </row>
    <row r="11" spans="1:18" ht="14.65" customHeight="1">
      <c r="A11" s="34"/>
      <c r="C11" s="28"/>
      <c r="D11" s="64" t="s">
        <v>103</v>
      </c>
      <c r="E11" s="101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51"/>
      <c r="G11" s="117"/>
      <c r="H11" s="1193"/>
      <c r="R11" s="11">
        <v>14</v>
      </c>
    </row>
    <row r="12" spans="1:18" ht="14.65" customHeight="1">
      <c r="A12" s="34"/>
      <c r="C12" s="23"/>
      <c r="D12" s="64" t="s">
        <v>90</v>
      </c>
      <c r="E12" s="123" t="str">
        <f>"Сведения о планировании закупочных процедур"&amp;IF(TEMPLATE_SPHERE="TKO"," &lt;1&gt;","")</f>
        <v>Сведения о планировании закупочных процедур</v>
      </c>
      <c r="F12" s="151"/>
      <c r="G12" s="117"/>
      <c r="H12" s="119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9"/>
      <c r="K12" s="11"/>
      <c r="R12" s="11">
        <v>14</v>
      </c>
    </row>
    <row r="13" spans="1:18" ht="14.65" customHeight="1">
      <c r="A13" s="34"/>
      <c r="C13" s="23"/>
      <c r="D13" s="64" t="s">
        <v>91</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193"/>
      <c r="I13" s="69"/>
      <c r="K13" s="11"/>
      <c r="R13" s="11">
        <v>14</v>
      </c>
    </row>
    <row r="14" spans="1:18" ht="14.65" customHeight="1">
      <c r="A14" s="34"/>
      <c r="C14" s="28"/>
      <c r="D14" s="40"/>
      <c r="E14" s="52" t="s">
        <v>326</v>
      </c>
      <c r="F14" s="111"/>
      <c r="G14" s="108"/>
      <c r="H14" s="1194"/>
      <c r="R14" s="11">
        <v>14</v>
      </c>
    </row>
    <row r="15" spans="1:18" s="11" customFormat="1" ht="14.65" customHeight="1">
      <c r="A15" s="34"/>
      <c r="B15" s="63"/>
      <c r="C15" s="28"/>
      <c r="D15" s="225"/>
      <c r="E15" s="902"/>
      <c r="F15" s="903"/>
      <c r="G15" s="904"/>
      <c r="H15" s="905"/>
      <c r="J15" s="69"/>
      <c r="K15" s="69"/>
      <c r="R15" s="11">
        <v>14</v>
      </c>
    </row>
    <row r="16" spans="1:18" ht="14.65" customHeight="1">
      <c r="D16" s="198"/>
      <c r="E16" s="1274"/>
      <c r="F16" s="1274"/>
      <c r="G16" s="1274"/>
      <c r="H16" s="1274"/>
      <c r="R16" s="11">
        <v>14</v>
      </c>
    </row>
    <row r="17" spans="1:18" ht="22.5" hidden="1" customHeight="1">
      <c r="A17" s="33" t="s">
        <v>82</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9BC33-C139-68B5-FF41-81F9A947F3E7}">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customWidth="1"/>
    <col min="21" max="21" width="5.7109375" style="35" customWidth="1"/>
    <col min="22" max="22" width="34.42578125" style="35"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70"/>
      <c r="B5" s="70"/>
      <c r="D5" s="119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1199"/>
      <c r="F5" s="1199"/>
      <c r="G5" s="1199"/>
      <c r="H5" s="1199"/>
      <c r="I5" s="1199"/>
      <c r="J5" s="1200"/>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65" customHeight="1">
      <c r="A6" s="17"/>
      <c r="B6" s="17"/>
      <c r="C6" s="17"/>
      <c r="D6" s="1204" t="str">
        <f>IF(org=0,"Не определено",org)</f>
        <v>ООО "Инженерные сети"</v>
      </c>
      <c r="E6" s="1204"/>
      <c r="F6" s="1204"/>
      <c r="G6" s="1204"/>
      <c r="H6" s="1204"/>
      <c r="I6" s="1204"/>
      <c r="J6" s="1204"/>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45" customHeight="1">
      <c r="A7" s="69"/>
      <c r="B7" s="69"/>
      <c r="D7" s="1201"/>
      <c r="E7" s="1202"/>
      <c r="F7" s="1202"/>
      <c r="G7" s="1202"/>
      <c r="H7" s="1202"/>
      <c r="I7" s="1202"/>
      <c r="J7" s="1203"/>
      <c r="Y7" s="17"/>
      <c r="Z7" s="17"/>
      <c r="AA7" s="17"/>
      <c r="AB7" s="17"/>
      <c r="AC7" s="17"/>
      <c r="AD7" s="17"/>
      <c r="AE7" s="17"/>
      <c r="AF7" s="17"/>
      <c r="AG7" s="17"/>
      <c r="AH7" s="17"/>
      <c r="AI7" s="17"/>
      <c r="AJ7" s="17"/>
      <c r="AK7" s="17"/>
      <c r="AL7" s="17"/>
      <c r="AM7" s="17"/>
      <c r="AN7" s="17"/>
      <c r="AO7" s="17"/>
      <c r="AP7" s="17"/>
      <c r="AQ7" s="17"/>
      <c r="AR7" s="162">
        <v>11</v>
      </c>
    </row>
    <row r="8" spans="1:44" s="42" customFormat="1" ht="1.1499999999999999"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48" t="s">
        <v>88</v>
      </c>
      <c r="E9" s="1129" t="s">
        <v>128</v>
      </c>
      <c r="F9" s="1128"/>
      <c r="G9" s="1148" t="s">
        <v>111</v>
      </c>
      <c r="H9" s="1148" t="s">
        <v>88</v>
      </c>
      <c r="I9" s="1148"/>
      <c r="J9" s="1148" t="s">
        <v>129</v>
      </c>
      <c r="K9" s="1205" t="s">
        <v>130</v>
      </c>
      <c r="L9" s="1205"/>
      <c r="M9" s="1205"/>
      <c r="N9" s="1205"/>
      <c r="O9" s="1205" t="s">
        <v>131</v>
      </c>
      <c r="P9" s="1205"/>
      <c r="Q9" s="1205"/>
      <c r="R9" s="1205"/>
      <c r="S9" s="1205" t="s">
        <v>132</v>
      </c>
      <c r="T9" s="1205"/>
      <c r="U9" s="1205"/>
      <c r="V9" s="1205"/>
      <c r="W9" s="1148" t="s">
        <v>133</v>
      </c>
      <c r="AR9" s="35">
        <v>27</v>
      </c>
    </row>
    <row r="10" spans="1:44" ht="31.5" customHeight="1">
      <c r="D10" s="1148"/>
      <c r="E10" s="41" t="s">
        <v>89</v>
      </c>
      <c r="F10" s="41" t="s">
        <v>134</v>
      </c>
      <c r="G10" s="1148"/>
      <c r="H10" s="1148"/>
      <c r="I10" s="1148"/>
      <c r="J10" s="1148"/>
      <c r="K10" s="41" t="s">
        <v>114</v>
      </c>
      <c r="L10" s="1148" t="s">
        <v>88</v>
      </c>
      <c r="M10" s="1148"/>
      <c r="N10" s="41" t="s">
        <v>135</v>
      </c>
      <c r="O10" s="41" t="s">
        <v>114</v>
      </c>
      <c r="P10" s="1148" t="s">
        <v>88</v>
      </c>
      <c r="Q10" s="1148"/>
      <c r="R10" s="41" t="s">
        <v>135</v>
      </c>
      <c r="S10" s="41" t="s">
        <v>114</v>
      </c>
      <c r="T10" s="1148" t="s">
        <v>88</v>
      </c>
      <c r="U10" s="1148"/>
      <c r="V10" s="41" t="s">
        <v>89</v>
      </c>
      <c r="W10" s="1148"/>
      <c r="Z10" s="17" t="s">
        <v>136</v>
      </c>
      <c r="AA10" s="17" t="s">
        <v>137</v>
      </c>
      <c r="AB10" s="17" t="s">
        <v>138</v>
      </c>
      <c r="AC10" s="17" t="s">
        <v>139</v>
      </c>
      <c r="AD10" s="17" t="s">
        <v>140</v>
      </c>
      <c r="AE10" s="17" t="s">
        <v>141</v>
      </c>
      <c r="AF10" s="17" t="s">
        <v>142</v>
      </c>
      <c r="AG10" s="17" t="s">
        <v>143</v>
      </c>
      <c r="AH10" s="17" t="s">
        <v>144</v>
      </c>
      <c r="AI10" s="17" t="s">
        <v>145</v>
      </c>
      <c r="AJ10" s="17" t="s">
        <v>146</v>
      </c>
      <c r="AK10" s="17" t="s">
        <v>147</v>
      </c>
      <c r="AL10" s="17" t="s">
        <v>148</v>
      </c>
      <c r="AM10" s="17" t="s">
        <v>149</v>
      </c>
      <c r="AN10" s="17" t="s">
        <v>150</v>
      </c>
      <c r="AO10" s="17" t="s">
        <v>151</v>
      </c>
      <c r="AP10" s="17" t="s">
        <v>152</v>
      </c>
      <c r="AQ10" s="17" t="s">
        <v>153</v>
      </c>
      <c r="AR10" s="35">
        <v>30</v>
      </c>
    </row>
    <row r="11" spans="1:44" s="69" customFormat="1" ht="12" hidden="1" customHeight="1">
      <c r="D11" s="724" t="s">
        <v>115</v>
      </c>
      <c r="E11" s="724" t="s">
        <v>103</v>
      </c>
      <c r="F11" s="724"/>
      <c r="G11" s="724" t="s">
        <v>90</v>
      </c>
      <c r="H11" s="1197" t="s">
        <v>116</v>
      </c>
      <c r="I11" s="1197"/>
      <c r="J11" s="724" t="s">
        <v>92</v>
      </c>
      <c r="K11" s="724" t="s">
        <v>93</v>
      </c>
      <c r="L11" s="1197" t="s">
        <v>117</v>
      </c>
      <c r="M11" s="1197"/>
      <c r="N11" s="724" t="s">
        <v>154</v>
      </c>
      <c r="O11" s="724" t="s">
        <v>155</v>
      </c>
      <c r="P11" s="1197" t="s">
        <v>156</v>
      </c>
      <c r="Q11" s="1197"/>
      <c r="R11" s="724" t="s">
        <v>157</v>
      </c>
      <c r="S11" s="724" t="s">
        <v>156</v>
      </c>
      <c r="T11" s="1197" t="s">
        <v>157</v>
      </c>
      <c r="U11" s="1197"/>
      <c r="V11" s="724" t="s">
        <v>158</v>
      </c>
      <c r="W11" s="724" t="s">
        <v>159</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81">
        <v>1</v>
      </c>
      <c r="E13" s="1170" t="s">
        <v>160</v>
      </c>
      <c r="F13" s="1183" t="s">
        <v>19</v>
      </c>
      <c r="G13" s="1170"/>
      <c r="H13" s="1172"/>
      <c r="I13" s="1174"/>
      <c r="J13" s="1176"/>
      <c r="K13" s="1168"/>
      <c r="L13" s="1168"/>
      <c r="M13" s="1168"/>
      <c r="N13" s="1179"/>
      <c r="O13" s="1168"/>
      <c r="P13" s="1168"/>
      <c r="Q13" s="1168"/>
      <c r="R13" s="1166"/>
      <c r="S13" s="1168"/>
      <c r="T13" s="804"/>
      <c r="U13" s="804"/>
      <c r="V13" s="803"/>
      <c r="W13" s="746"/>
      <c r="Y13" s="731"/>
      <c r="Z13" s="731"/>
      <c r="AA13" s="731"/>
      <c r="AB13" s="731"/>
      <c r="AC13" s="731" t="s">
        <v>161</v>
      </c>
      <c r="AD13" s="731" t="s">
        <v>162</v>
      </c>
      <c r="AE13" s="731" t="s">
        <v>163</v>
      </c>
      <c r="AF13" s="731" t="s">
        <v>164</v>
      </c>
      <c r="AG13" s="731" t="s">
        <v>165</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hidden="1" customHeight="1">
      <c r="A14" s="188"/>
      <c r="D14" s="1181"/>
      <c r="E14" s="1170"/>
      <c r="F14" s="1184"/>
      <c r="G14" s="1170"/>
      <c r="H14" s="1173"/>
      <c r="I14" s="1175"/>
      <c r="J14" s="1177"/>
      <c r="K14" s="1169"/>
      <c r="L14" s="1169"/>
      <c r="M14" s="1169"/>
      <c r="N14" s="1180"/>
      <c r="O14" s="1169"/>
      <c r="P14" s="1169"/>
      <c r="Q14" s="1169"/>
      <c r="R14" s="1167"/>
      <c r="S14" s="1169"/>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81"/>
      <c r="E15" s="1170"/>
      <c r="F15" s="1184"/>
      <c r="G15" s="1170"/>
      <c r="H15" s="1173"/>
      <c r="I15" s="1175"/>
      <c r="J15" s="1178"/>
      <c r="K15" s="1169"/>
      <c r="L15" s="1169"/>
      <c r="M15" s="1169"/>
      <c r="N15" s="1167"/>
      <c r="O15" s="1169"/>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hidden="1" customHeight="1">
      <c r="A16" s="188"/>
      <c r="D16" s="1181"/>
      <c r="E16" s="1170"/>
      <c r="F16" s="1184"/>
      <c r="G16" s="1170"/>
      <c r="H16" s="1173"/>
      <c r="I16" s="1175"/>
      <c r="J16" s="1178"/>
      <c r="K16" s="1169"/>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82"/>
      <c r="E17" s="1171"/>
      <c r="F17" s="1185"/>
      <c r="G17" s="1171"/>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81">
        <v>2</v>
      </c>
      <c r="E18" s="1195"/>
      <c r="F18" s="1183" t="s">
        <v>19</v>
      </c>
      <c r="G18" s="1170"/>
      <c r="H18" s="1172"/>
      <c r="I18" s="1174"/>
      <c r="J18" s="1176"/>
      <c r="K18" s="1168"/>
      <c r="L18" s="1168"/>
      <c r="M18" s="1168"/>
      <c r="N18" s="1179"/>
      <c r="O18" s="1168"/>
      <c r="P18" s="1168"/>
      <c r="Q18" s="1168"/>
      <c r="R18" s="1166"/>
      <c r="S18" s="1168"/>
      <c r="T18" s="804"/>
      <c r="U18" s="804"/>
      <c r="V18" s="803"/>
      <c r="W18" s="746"/>
      <c r="X18" s="731"/>
      <c r="Y18" s="731"/>
      <c r="Z18" s="731"/>
      <c r="AA18" s="731"/>
      <c r="AB18" s="731"/>
      <c r="AC18" s="731" t="s">
        <v>166</v>
      </c>
      <c r="AD18" s="731" t="s">
        <v>167</v>
      </c>
      <c r="AE18" s="731" t="s">
        <v>168</v>
      </c>
      <c r="AF18" s="731" t="s">
        <v>169</v>
      </c>
      <c r="AG18" s="731" t="s">
        <v>170</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hidden="1" customHeight="1">
      <c r="A19" s="188"/>
      <c r="D19" s="1181"/>
      <c r="E19" s="1195"/>
      <c r="F19" s="1184"/>
      <c r="G19" s="1170"/>
      <c r="H19" s="1173"/>
      <c r="I19" s="1175"/>
      <c r="J19" s="1177"/>
      <c r="K19" s="1169"/>
      <c r="L19" s="1169"/>
      <c r="M19" s="1169"/>
      <c r="N19" s="1180"/>
      <c r="O19" s="1169"/>
      <c r="P19" s="1169"/>
      <c r="Q19" s="1169"/>
      <c r="R19" s="1167"/>
      <c r="S19" s="1169"/>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82"/>
      <c r="E20" s="1196"/>
      <c r="F20" s="1184"/>
      <c r="G20" s="1171"/>
      <c r="H20" s="1173"/>
      <c r="I20" s="1175"/>
      <c r="J20" s="1178"/>
      <c r="K20" s="1169"/>
      <c r="L20" s="1169"/>
      <c r="M20" s="1169"/>
      <c r="N20" s="1167"/>
      <c r="O20" s="1169"/>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82"/>
      <c r="E21" s="1196"/>
      <c r="F21" s="1184"/>
      <c r="G21" s="1171"/>
      <c r="H21" s="1173"/>
      <c r="I21" s="1175"/>
      <c r="J21" s="1178"/>
      <c r="K21" s="1169"/>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82"/>
      <c r="E22" s="1196"/>
      <c r="F22" s="1185"/>
      <c r="G22" s="1171"/>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81">
        <v>2</v>
      </c>
      <c r="E23" s="1170" t="s">
        <v>171</v>
      </c>
      <c r="F23" s="1183" t="s">
        <v>19</v>
      </c>
      <c r="G23" s="1170"/>
      <c r="H23" s="1172"/>
      <c r="I23" s="1174"/>
      <c r="J23" s="1176"/>
      <c r="K23" s="1168"/>
      <c r="L23" s="1168"/>
      <c r="M23" s="1168"/>
      <c r="N23" s="1179"/>
      <c r="O23" s="1168"/>
      <c r="P23" s="1168"/>
      <c r="Q23" s="1168"/>
      <c r="R23" s="1166"/>
      <c r="S23" s="1168"/>
      <c r="T23" s="804"/>
      <c r="U23" s="804"/>
      <c r="V23" s="803"/>
      <c r="W23" s="746"/>
      <c r="X23" s="731"/>
      <c r="Y23" s="731"/>
      <c r="Z23" s="731"/>
      <c r="AA23" s="731"/>
      <c r="AB23" s="731"/>
      <c r="AC23" s="731" t="s">
        <v>166</v>
      </c>
      <c r="AD23" s="731" t="s">
        <v>167</v>
      </c>
      <c r="AE23" s="731" t="s">
        <v>168</v>
      </c>
      <c r="AF23" s="731" t="s">
        <v>169</v>
      </c>
      <c r="AG23" s="731" t="s">
        <v>170</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hidden="1" customHeight="1">
      <c r="A24" s="188"/>
      <c r="D24" s="1181"/>
      <c r="E24" s="1170"/>
      <c r="F24" s="1184"/>
      <c r="G24" s="1170"/>
      <c r="H24" s="1173"/>
      <c r="I24" s="1175"/>
      <c r="J24" s="1177"/>
      <c r="K24" s="1169"/>
      <c r="L24" s="1169"/>
      <c r="M24" s="1169"/>
      <c r="N24" s="1180"/>
      <c r="O24" s="1169"/>
      <c r="P24" s="1169"/>
      <c r="Q24" s="1169"/>
      <c r="R24" s="1167"/>
      <c r="S24" s="1169"/>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82"/>
      <c r="E25" s="1171"/>
      <c r="F25" s="1184"/>
      <c r="G25" s="1171"/>
      <c r="H25" s="1173"/>
      <c r="I25" s="1175"/>
      <c r="J25" s="1178"/>
      <c r="K25" s="1169"/>
      <c r="L25" s="1169"/>
      <c r="M25" s="1169"/>
      <c r="N25" s="1167"/>
      <c r="O25" s="1169"/>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82"/>
      <c r="E26" s="1171"/>
      <c r="F26" s="1184"/>
      <c r="G26" s="1171"/>
      <c r="H26" s="1173"/>
      <c r="I26" s="1175"/>
      <c r="J26" s="1178"/>
      <c r="K26" s="1169"/>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82"/>
      <c r="E27" s="1171"/>
      <c r="F27" s="1185"/>
      <c r="G27" s="1171"/>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81">
        <v>3</v>
      </c>
      <c r="E28" s="1170" t="s">
        <v>172</v>
      </c>
      <c r="F28" s="1183" t="s">
        <v>19</v>
      </c>
      <c r="G28" s="1170"/>
      <c r="H28" s="1172"/>
      <c r="I28" s="1174"/>
      <c r="J28" s="1176"/>
      <c r="K28" s="1168"/>
      <c r="L28" s="1168"/>
      <c r="M28" s="1168"/>
      <c r="N28" s="1179"/>
      <c r="O28" s="1168"/>
      <c r="P28" s="1168"/>
      <c r="Q28" s="1168"/>
      <c r="R28" s="1166"/>
      <c r="S28" s="1168"/>
      <c r="T28" s="804"/>
      <c r="U28" s="804"/>
      <c r="V28" s="803"/>
      <c r="W28" s="746"/>
      <c r="X28" s="731"/>
      <c r="Y28" s="731"/>
      <c r="Z28" s="731"/>
      <c r="AA28" s="731"/>
      <c r="AB28" s="731"/>
      <c r="AC28" s="731" t="s">
        <v>173</v>
      </c>
      <c r="AD28" s="731" t="s">
        <v>174</v>
      </c>
      <c r="AE28" s="731" t="s">
        <v>175</v>
      </c>
      <c r="AF28" s="731" t="s">
        <v>176</v>
      </c>
      <c r="AG28" s="731" t="s">
        <v>177</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hidden="1" customHeight="1">
      <c r="A29" s="188"/>
      <c r="D29" s="1181"/>
      <c r="E29" s="1170"/>
      <c r="F29" s="1184"/>
      <c r="G29" s="1170"/>
      <c r="H29" s="1173"/>
      <c r="I29" s="1175"/>
      <c r="J29" s="1177"/>
      <c r="K29" s="1169"/>
      <c r="L29" s="1169"/>
      <c r="M29" s="1169"/>
      <c r="N29" s="1180"/>
      <c r="O29" s="1169"/>
      <c r="P29" s="1169"/>
      <c r="Q29" s="1169"/>
      <c r="R29" s="1167"/>
      <c r="S29" s="1169"/>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82"/>
      <c r="E30" s="1171"/>
      <c r="F30" s="1184"/>
      <c r="G30" s="1171"/>
      <c r="H30" s="1173"/>
      <c r="I30" s="1175"/>
      <c r="J30" s="1178"/>
      <c r="K30" s="1169"/>
      <c r="L30" s="1169"/>
      <c r="M30" s="1169"/>
      <c r="N30" s="1167"/>
      <c r="O30" s="1169"/>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82"/>
      <c r="E31" s="1171"/>
      <c r="F31" s="1184"/>
      <c r="G31" s="1171"/>
      <c r="H31" s="1173"/>
      <c r="I31" s="1175"/>
      <c r="J31" s="1178"/>
      <c r="K31" s="1169"/>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82"/>
      <c r="E32" s="1171"/>
      <c r="F32" s="1185"/>
      <c r="G32" s="1171"/>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81">
        <v>4</v>
      </c>
      <c r="E33" s="1170" t="s">
        <v>178</v>
      </c>
      <c r="F33" s="1183" t="s">
        <v>19</v>
      </c>
      <c r="G33" s="1170"/>
      <c r="H33" s="1172"/>
      <c r="I33" s="1174"/>
      <c r="J33" s="1176"/>
      <c r="K33" s="1168"/>
      <c r="L33" s="1168"/>
      <c r="M33" s="1168"/>
      <c r="N33" s="1179"/>
      <c r="O33" s="1168"/>
      <c r="P33" s="1168"/>
      <c r="Q33" s="1168"/>
      <c r="R33" s="1166"/>
      <c r="S33" s="1168"/>
      <c r="T33" s="804"/>
      <c r="U33" s="804"/>
      <c r="V33" s="803"/>
      <c r="W33" s="746"/>
      <c r="X33" s="731"/>
      <c r="Y33" s="731"/>
      <c r="Z33" s="731"/>
      <c r="AA33" s="731"/>
      <c r="AB33" s="731"/>
      <c r="AC33" s="731" t="s">
        <v>179</v>
      </c>
      <c r="AD33" s="731" t="s">
        <v>180</v>
      </c>
      <c r="AE33" s="731" t="s">
        <v>181</v>
      </c>
      <c r="AF33" s="731" t="s">
        <v>182</v>
      </c>
      <c r="AG33" s="731" t="s">
        <v>183</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hidden="1" customHeight="1">
      <c r="A34" s="188"/>
      <c r="D34" s="1181"/>
      <c r="E34" s="1170"/>
      <c r="F34" s="1184"/>
      <c r="G34" s="1170"/>
      <c r="H34" s="1173"/>
      <c r="I34" s="1175"/>
      <c r="J34" s="1177"/>
      <c r="K34" s="1169"/>
      <c r="L34" s="1169"/>
      <c r="M34" s="1169"/>
      <c r="N34" s="1180"/>
      <c r="O34" s="1169"/>
      <c r="P34" s="1169"/>
      <c r="Q34" s="1169"/>
      <c r="R34" s="1167"/>
      <c r="S34" s="1169"/>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82"/>
      <c r="E35" s="1171"/>
      <c r="F35" s="1184"/>
      <c r="G35" s="1171"/>
      <c r="H35" s="1173"/>
      <c r="I35" s="1175"/>
      <c r="J35" s="1178"/>
      <c r="K35" s="1169"/>
      <c r="L35" s="1169"/>
      <c r="M35" s="1169"/>
      <c r="N35" s="1167"/>
      <c r="O35" s="1169"/>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82"/>
      <c r="E36" s="1171"/>
      <c r="F36" s="1184"/>
      <c r="G36" s="1171"/>
      <c r="H36" s="1173"/>
      <c r="I36" s="1175"/>
      <c r="J36" s="1178"/>
      <c r="K36" s="1169"/>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82"/>
      <c r="E37" s="1171"/>
      <c r="F37" s="1185"/>
      <c r="G37" s="1171"/>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81">
        <v>5</v>
      </c>
      <c r="E38" s="1170" t="s">
        <v>184</v>
      </c>
      <c r="F38" s="1183" t="s">
        <v>19</v>
      </c>
      <c r="G38" s="1170"/>
      <c r="H38" s="1172"/>
      <c r="I38" s="1174"/>
      <c r="J38" s="1176"/>
      <c r="K38" s="1168"/>
      <c r="L38" s="1168"/>
      <c r="M38" s="1168"/>
      <c r="N38" s="1179"/>
      <c r="O38" s="1168"/>
      <c r="P38" s="1168"/>
      <c r="Q38" s="1168"/>
      <c r="R38" s="1166"/>
      <c r="S38" s="1168"/>
      <c r="T38" s="804"/>
      <c r="U38" s="804"/>
      <c r="V38" s="803"/>
      <c r="W38" s="746"/>
      <c r="X38" s="731"/>
      <c r="Y38" s="731"/>
      <c r="Z38" s="731"/>
      <c r="AA38" s="731"/>
      <c r="AB38" s="731"/>
      <c r="AC38" s="731" t="s">
        <v>185</v>
      </c>
      <c r="AD38" s="731" t="s">
        <v>186</v>
      </c>
      <c r="AE38" s="731" t="s">
        <v>187</v>
      </c>
      <c r="AF38" s="731" t="s">
        <v>188</v>
      </c>
      <c r="AG38" s="731" t="s">
        <v>189</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hidden="1" customHeight="1">
      <c r="A39" s="188"/>
      <c r="D39" s="1181"/>
      <c r="E39" s="1170"/>
      <c r="F39" s="1184"/>
      <c r="G39" s="1170"/>
      <c r="H39" s="1173"/>
      <c r="I39" s="1175"/>
      <c r="J39" s="1177"/>
      <c r="K39" s="1169"/>
      <c r="L39" s="1169"/>
      <c r="M39" s="1169"/>
      <c r="N39" s="1180"/>
      <c r="O39" s="1169"/>
      <c r="P39" s="1169"/>
      <c r="Q39" s="1169"/>
      <c r="R39" s="1167"/>
      <c r="S39" s="1169"/>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82"/>
      <c r="E40" s="1171"/>
      <c r="F40" s="1184"/>
      <c r="G40" s="1171"/>
      <c r="H40" s="1173"/>
      <c r="I40" s="1175"/>
      <c r="J40" s="1178"/>
      <c r="K40" s="1169"/>
      <c r="L40" s="1169"/>
      <c r="M40" s="1169"/>
      <c r="N40" s="1167"/>
      <c r="O40" s="1169"/>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82"/>
      <c r="E41" s="1171"/>
      <c r="F41" s="1184"/>
      <c r="G41" s="1171"/>
      <c r="H41" s="1173"/>
      <c r="I41" s="1175"/>
      <c r="J41" s="1178"/>
      <c r="K41" s="1169"/>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82"/>
      <c r="E42" s="1171"/>
      <c r="F42" s="1185"/>
      <c r="G42" s="1171"/>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81">
        <v>6</v>
      </c>
      <c r="E43" s="1170" t="s">
        <v>190</v>
      </c>
      <c r="F43" s="1183" t="s">
        <v>19</v>
      </c>
      <c r="G43" s="1170"/>
      <c r="H43" s="1172"/>
      <c r="I43" s="1174"/>
      <c r="J43" s="1176"/>
      <c r="K43" s="1168"/>
      <c r="L43" s="1168"/>
      <c r="M43" s="1168"/>
      <c r="N43" s="1179"/>
      <c r="O43" s="1168"/>
      <c r="P43" s="1168"/>
      <c r="Q43" s="1168"/>
      <c r="R43" s="1166"/>
      <c r="S43" s="1168"/>
      <c r="T43" s="804"/>
      <c r="U43" s="804"/>
      <c r="V43" s="803"/>
      <c r="W43" s="746"/>
      <c r="X43" s="731"/>
      <c r="Y43" s="731"/>
      <c r="Z43" s="731"/>
      <c r="AA43" s="731"/>
      <c r="AB43" s="731"/>
      <c r="AC43" s="731" t="s">
        <v>191</v>
      </c>
      <c r="AD43" s="731" t="s">
        <v>192</v>
      </c>
      <c r="AE43" s="731" t="s">
        <v>193</v>
      </c>
      <c r="AF43" s="731" t="s">
        <v>194</v>
      </c>
      <c r="AG43" s="731" t="s">
        <v>195</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hidden="1" customHeight="1">
      <c r="A44" s="188"/>
      <c r="D44" s="1181"/>
      <c r="E44" s="1170"/>
      <c r="F44" s="1184"/>
      <c r="G44" s="1170"/>
      <c r="H44" s="1173"/>
      <c r="I44" s="1175"/>
      <c r="J44" s="1177"/>
      <c r="K44" s="1169"/>
      <c r="L44" s="1169"/>
      <c r="M44" s="1169"/>
      <c r="N44" s="1180"/>
      <c r="O44" s="1169"/>
      <c r="P44" s="1169"/>
      <c r="Q44" s="1169"/>
      <c r="R44" s="1167"/>
      <c r="S44" s="1169"/>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82"/>
      <c r="E45" s="1171"/>
      <c r="F45" s="1184"/>
      <c r="G45" s="1171"/>
      <c r="H45" s="1173"/>
      <c r="I45" s="1175"/>
      <c r="J45" s="1178"/>
      <c r="K45" s="1169"/>
      <c r="L45" s="1169"/>
      <c r="M45" s="1169"/>
      <c r="N45" s="1167"/>
      <c r="O45" s="1169"/>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82"/>
      <c r="E46" s="1171"/>
      <c r="F46" s="1184"/>
      <c r="G46" s="1171"/>
      <c r="H46" s="1173"/>
      <c r="I46" s="1175"/>
      <c r="J46" s="1178"/>
      <c r="K46" s="1169"/>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hidden="1" customHeight="1">
      <c r="A47" s="188"/>
      <c r="D47" s="1182"/>
      <c r="E47" s="1171"/>
      <c r="F47" s="1185"/>
      <c r="G47" s="1171"/>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189">
        <v>7</v>
      </c>
      <c r="E48" s="1192" t="s">
        <v>196</v>
      </c>
      <c r="F48" s="1183" t="s">
        <v>19</v>
      </c>
      <c r="G48" s="1192"/>
      <c r="H48" s="1172"/>
      <c r="I48" s="1174"/>
      <c r="J48" s="1176"/>
      <c r="K48" s="1168"/>
      <c r="L48" s="1168"/>
      <c r="M48" s="1168"/>
      <c r="N48" s="1179"/>
      <c r="O48" s="1168"/>
      <c r="P48" s="1168"/>
      <c r="Q48" s="1168"/>
      <c r="R48" s="1166"/>
      <c r="S48" s="1168"/>
      <c r="T48" s="804"/>
      <c r="U48" s="804"/>
      <c r="V48" s="803"/>
      <c r="W48" s="746"/>
      <c r="X48" s="731"/>
      <c r="Y48" s="731"/>
      <c r="Z48" s="731"/>
      <c r="AA48" s="731"/>
      <c r="AB48" s="731"/>
      <c r="AC48" s="731" t="s">
        <v>197</v>
      </c>
      <c r="AD48" s="731" t="s">
        <v>198</v>
      </c>
      <c r="AE48" s="731" t="s">
        <v>199</v>
      </c>
      <c r="AF48" s="731" t="s">
        <v>200</v>
      </c>
      <c r="AG48" s="731" t="s">
        <v>201</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hidden="1" customHeight="1">
      <c r="A49" s="188"/>
      <c r="D49" s="1190"/>
      <c r="E49" s="1193"/>
      <c r="F49" s="1184"/>
      <c r="G49" s="1193"/>
      <c r="H49" s="1173"/>
      <c r="I49" s="1175"/>
      <c r="J49" s="1177"/>
      <c r="K49" s="1169"/>
      <c r="L49" s="1169"/>
      <c r="M49" s="1169"/>
      <c r="N49" s="1180"/>
      <c r="O49" s="1169"/>
      <c r="P49" s="1169"/>
      <c r="Q49" s="1169"/>
      <c r="R49" s="1167"/>
      <c r="S49" s="1169"/>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190"/>
      <c r="E50" s="1193"/>
      <c r="F50" s="1184"/>
      <c r="G50" s="1193"/>
      <c r="H50" s="1173"/>
      <c r="I50" s="1175"/>
      <c r="J50" s="1178"/>
      <c r="K50" s="1169"/>
      <c r="L50" s="1169"/>
      <c r="M50" s="1169"/>
      <c r="N50" s="1167"/>
      <c r="O50" s="1169"/>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190"/>
      <c r="E51" s="1193"/>
      <c r="F51" s="1184"/>
      <c r="G51" s="1193"/>
      <c r="H51" s="1173"/>
      <c r="I51" s="1175"/>
      <c r="J51" s="1178"/>
      <c r="K51" s="1169"/>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hidden="1" customHeight="1">
      <c r="A52" s="188"/>
      <c r="D52" s="1191"/>
      <c r="E52" s="1194"/>
      <c r="F52" s="1185"/>
      <c r="G52" s="1194"/>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81">
        <v>8</v>
      </c>
      <c r="E53" s="1170" t="s">
        <v>202</v>
      </c>
      <c r="F53" s="1183" t="s">
        <v>19</v>
      </c>
      <c r="G53" s="1170"/>
      <c r="H53" s="1172"/>
      <c r="I53" s="1174"/>
      <c r="J53" s="1176"/>
      <c r="K53" s="1168"/>
      <c r="L53" s="1168"/>
      <c r="M53" s="1168"/>
      <c r="N53" s="1179"/>
      <c r="O53" s="1168"/>
      <c r="P53" s="1168"/>
      <c r="Q53" s="1168"/>
      <c r="R53" s="1166"/>
      <c r="S53" s="1168"/>
      <c r="T53" s="804"/>
      <c r="U53" s="804"/>
      <c r="V53" s="803"/>
      <c r="W53" s="746"/>
      <c r="X53" s="731"/>
      <c r="Y53" s="731"/>
      <c r="Z53" s="731"/>
      <c r="AA53" s="731"/>
      <c r="AB53" s="731"/>
      <c r="AC53" s="731" t="s">
        <v>203</v>
      </c>
      <c r="AD53" s="731" t="s">
        <v>204</v>
      </c>
      <c r="AE53" s="731" t="s">
        <v>205</v>
      </c>
      <c r="AF53" s="731" t="s">
        <v>206</v>
      </c>
      <c r="AG53" s="731" t="s">
        <v>207</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hidden="1" customHeight="1">
      <c r="A54" s="188"/>
      <c r="D54" s="1181"/>
      <c r="E54" s="1170"/>
      <c r="F54" s="1184"/>
      <c r="G54" s="1170"/>
      <c r="H54" s="1173"/>
      <c r="I54" s="1175"/>
      <c r="J54" s="1177"/>
      <c r="K54" s="1169"/>
      <c r="L54" s="1169"/>
      <c r="M54" s="1169"/>
      <c r="N54" s="1180"/>
      <c r="O54" s="1169"/>
      <c r="P54" s="1169"/>
      <c r="Q54" s="1169"/>
      <c r="R54" s="1167"/>
      <c r="S54" s="1169"/>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82"/>
      <c r="E55" s="1171"/>
      <c r="F55" s="1184"/>
      <c r="G55" s="1171"/>
      <c r="H55" s="1173"/>
      <c r="I55" s="1175"/>
      <c r="J55" s="1178"/>
      <c r="K55" s="1169"/>
      <c r="L55" s="1169"/>
      <c r="M55" s="1169"/>
      <c r="N55" s="1167"/>
      <c r="O55" s="1169"/>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82"/>
      <c r="E56" s="1171"/>
      <c r="F56" s="1184"/>
      <c r="G56" s="1171"/>
      <c r="H56" s="1173"/>
      <c r="I56" s="1175"/>
      <c r="J56" s="1178"/>
      <c r="K56" s="1169"/>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hidden="1" customHeight="1">
      <c r="A57" s="188"/>
      <c r="D57" s="1182"/>
      <c r="E57" s="1171"/>
      <c r="F57" s="1185"/>
      <c r="G57" s="1171"/>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81">
        <v>9</v>
      </c>
      <c r="E58" s="1170" t="s">
        <v>208</v>
      </c>
      <c r="F58" s="1183" t="s">
        <v>19</v>
      </c>
      <c r="G58" s="1170"/>
      <c r="H58" s="1172"/>
      <c r="I58" s="1174"/>
      <c r="J58" s="1176"/>
      <c r="K58" s="1168"/>
      <c r="L58" s="1168"/>
      <c r="M58" s="1168"/>
      <c r="N58" s="1179"/>
      <c r="O58" s="1168"/>
      <c r="P58" s="1168"/>
      <c r="Q58" s="1168"/>
      <c r="R58" s="1166"/>
      <c r="S58" s="1168"/>
      <c r="T58" s="804"/>
      <c r="U58" s="804"/>
      <c r="V58" s="803"/>
      <c r="W58" s="746"/>
      <c r="X58" s="731"/>
      <c r="Y58" s="731"/>
      <c r="Z58" s="731"/>
      <c r="AA58" s="731"/>
      <c r="AB58" s="731"/>
      <c r="AC58" s="731" t="s">
        <v>209</v>
      </c>
      <c r="AD58" s="731" t="s">
        <v>210</v>
      </c>
      <c r="AE58" s="731" t="s">
        <v>211</v>
      </c>
      <c r="AF58" s="731" t="s">
        <v>212</v>
      </c>
      <c r="AG58" s="731" t="s">
        <v>213</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hidden="1" customHeight="1">
      <c r="A59" s="188"/>
      <c r="D59" s="1181"/>
      <c r="E59" s="1170"/>
      <c r="F59" s="1184"/>
      <c r="G59" s="1170"/>
      <c r="H59" s="1173"/>
      <c r="I59" s="1175"/>
      <c r="J59" s="1177"/>
      <c r="K59" s="1169"/>
      <c r="L59" s="1169"/>
      <c r="M59" s="1169"/>
      <c r="N59" s="1180"/>
      <c r="O59" s="1169"/>
      <c r="P59" s="1169"/>
      <c r="Q59" s="1169"/>
      <c r="R59" s="1167"/>
      <c r="S59" s="1169"/>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82"/>
      <c r="E60" s="1171"/>
      <c r="F60" s="1184"/>
      <c r="G60" s="1171"/>
      <c r="H60" s="1173"/>
      <c r="I60" s="1175"/>
      <c r="J60" s="1178"/>
      <c r="K60" s="1169"/>
      <c r="L60" s="1169"/>
      <c r="M60" s="1169"/>
      <c r="N60" s="1167"/>
      <c r="O60" s="1169"/>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82"/>
      <c r="E61" s="1171"/>
      <c r="F61" s="1184"/>
      <c r="G61" s="1171"/>
      <c r="H61" s="1173"/>
      <c r="I61" s="1175"/>
      <c r="J61" s="1178"/>
      <c r="K61" s="1169"/>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hidden="1" customHeight="1">
      <c r="A62" s="188"/>
      <c r="D62" s="1182"/>
      <c r="E62" s="1171"/>
      <c r="F62" s="1185"/>
      <c r="G62" s="1171"/>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81">
        <v>10</v>
      </c>
      <c r="E63" s="1170" t="s">
        <v>214</v>
      </c>
      <c r="F63" s="1183" t="s">
        <v>19</v>
      </c>
      <c r="G63" s="1170"/>
      <c r="H63" s="1172"/>
      <c r="I63" s="1174"/>
      <c r="J63" s="1176"/>
      <c r="K63" s="1168"/>
      <c r="L63" s="1168"/>
      <c r="M63" s="1168"/>
      <c r="N63" s="1179"/>
      <c r="O63" s="1168"/>
      <c r="P63" s="1168"/>
      <c r="Q63" s="1168"/>
      <c r="R63" s="1166"/>
      <c r="S63" s="1168"/>
      <c r="T63" s="804"/>
      <c r="U63" s="804"/>
      <c r="V63" s="803"/>
      <c r="W63" s="746"/>
      <c r="X63" s="731"/>
      <c r="Y63" s="731"/>
      <c r="Z63" s="731"/>
      <c r="AA63" s="731"/>
      <c r="AB63" s="731"/>
      <c r="AC63" s="731" t="s">
        <v>215</v>
      </c>
      <c r="AD63" s="731" t="s">
        <v>216</v>
      </c>
      <c r="AE63" s="731" t="s">
        <v>217</v>
      </c>
      <c r="AF63" s="731" t="s">
        <v>218</v>
      </c>
      <c r="AG63" s="731" t="s">
        <v>219</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hidden="1" customHeight="1">
      <c r="A64" s="188"/>
      <c r="D64" s="1181"/>
      <c r="E64" s="1170"/>
      <c r="F64" s="1184"/>
      <c r="G64" s="1170"/>
      <c r="H64" s="1173"/>
      <c r="I64" s="1175"/>
      <c r="J64" s="1177"/>
      <c r="K64" s="1169"/>
      <c r="L64" s="1169"/>
      <c r="M64" s="1169"/>
      <c r="N64" s="1180"/>
      <c r="O64" s="1169"/>
      <c r="P64" s="1169"/>
      <c r="Q64" s="1169"/>
      <c r="R64" s="1167"/>
      <c r="S64" s="1169"/>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82"/>
      <c r="E65" s="1171"/>
      <c r="F65" s="1184"/>
      <c r="G65" s="1171"/>
      <c r="H65" s="1173"/>
      <c r="I65" s="1175"/>
      <c r="J65" s="1178"/>
      <c r="K65" s="1169"/>
      <c r="L65" s="1169"/>
      <c r="M65" s="1169"/>
      <c r="N65" s="1167"/>
      <c r="O65" s="1169"/>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82"/>
      <c r="E66" s="1171"/>
      <c r="F66" s="1184"/>
      <c r="G66" s="1171"/>
      <c r="H66" s="1173"/>
      <c r="I66" s="1175"/>
      <c r="J66" s="1178"/>
      <c r="K66" s="1169"/>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hidden="1" customHeight="1">
      <c r="A67" s="188"/>
      <c r="D67" s="1182"/>
      <c r="E67" s="1171"/>
      <c r="F67" s="1185"/>
      <c r="G67" s="1171"/>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88" t="s">
        <v>220</v>
      </c>
      <c r="F69" s="1188"/>
      <c r="G69" s="1188"/>
      <c r="H69" s="1188"/>
      <c r="I69" s="1188"/>
      <c r="J69" s="1188"/>
      <c r="K69" s="1188"/>
      <c r="L69" s="1188"/>
      <c r="M69" s="1188"/>
      <c r="N69" s="1188"/>
      <c r="O69" s="1188"/>
      <c r="P69" s="1188"/>
      <c r="Q69" s="1188"/>
      <c r="R69" s="1188"/>
      <c r="S69" s="1188"/>
      <c r="T69" s="1188"/>
      <c r="U69" s="1188"/>
      <c r="V69" s="1188"/>
      <c r="W69" s="1188"/>
      <c r="AR69" s="35">
        <v>0</v>
      </c>
    </row>
    <row r="70" spans="1:44" ht="36.75" hidden="1" customHeight="1">
      <c r="E70" s="1186" t="s">
        <v>221</v>
      </c>
      <c r="F70" s="1186"/>
      <c r="G70" s="1187"/>
      <c r="H70" s="1187"/>
      <c r="I70" s="1187"/>
      <c r="J70" s="1187"/>
      <c r="K70" s="1187"/>
      <c r="L70" s="1187"/>
      <c r="M70" s="1187"/>
      <c r="N70" s="1187"/>
      <c r="O70" s="1187"/>
      <c r="P70" s="1187"/>
      <c r="Q70" s="1187"/>
      <c r="R70" s="1187"/>
      <c r="S70" s="1187"/>
      <c r="T70" s="1187"/>
      <c r="U70" s="1187"/>
      <c r="V70" s="1187"/>
      <c r="W70" s="1187"/>
      <c r="AR70" s="35">
        <v>0</v>
      </c>
    </row>
    <row r="71" spans="1:44" ht="28.5" hidden="1" customHeight="1">
      <c r="E71" s="1186" t="s">
        <v>222</v>
      </c>
      <c r="F71" s="1186"/>
      <c r="G71" s="1187"/>
      <c r="H71" s="1187"/>
      <c r="I71" s="1187"/>
      <c r="J71" s="1187"/>
      <c r="K71" s="1187"/>
      <c r="L71" s="1187"/>
      <c r="M71" s="1187"/>
      <c r="N71" s="1187"/>
      <c r="O71" s="1187"/>
      <c r="P71" s="1187"/>
      <c r="Q71" s="1187"/>
      <c r="R71" s="1187"/>
      <c r="S71" s="1187"/>
      <c r="T71" s="1187"/>
      <c r="U71" s="1187"/>
      <c r="V71" s="1187"/>
      <c r="W71" s="1187"/>
      <c r="AR71" s="35">
        <v>0</v>
      </c>
    </row>
    <row r="72" spans="1:44" ht="27" hidden="1" customHeight="1">
      <c r="E72" s="1186" t="s">
        <v>223</v>
      </c>
      <c r="F72" s="1186"/>
      <c r="G72" s="1187"/>
      <c r="H72" s="1187"/>
      <c r="I72" s="1187"/>
      <c r="J72" s="1187"/>
      <c r="K72" s="1187"/>
      <c r="L72" s="1187"/>
      <c r="M72" s="1187"/>
      <c r="N72" s="1187"/>
      <c r="O72" s="1187"/>
      <c r="P72" s="1187"/>
      <c r="Q72" s="1187"/>
      <c r="R72" s="1187"/>
      <c r="S72" s="1187"/>
      <c r="T72" s="1187"/>
      <c r="U72" s="1187"/>
      <c r="V72" s="1187"/>
      <c r="W72" s="1187"/>
      <c r="AR72" s="35">
        <v>0</v>
      </c>
    </row>
    <row r="73" spans="1:44" ht="17.25" hidden="1" customHeight="1">
      <c r="E73" s="1186" t="s">
        <v>224</v>
      </c>
      <c r="F73" s="1186"/>
      <c r="G73" s="1187"/>
      <c r="H73" s="1187"/>
      <c r="I73" s="1187"/>
      <c r="J73" s="1187"/>
      <c r="K73" s="1187"/>
      <c r="L73" s="1187"/>
      <c r="M73" s="1187"/>
      <c r="N73" s="1187"/>
      <c r="O73" s="1187"/>
      <c r="P73" s="1187"/>
      <c r="Q73" s="1187"/>
      <c r="R73" s="1187"/>
      <c r="S73" s="1187"/>
      <c r="T73" s="1187"/>
      <c r="U73" s="1187"/>
      <c r="V73" s="1187"/>
      <c r="W73" s="1187"/>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88" t="s">
        <v>225</v>
      </c>
      <c r="F75" s="1188"/>
      <c r="G75" s="1188"/>
      <c r="H75" s="1188"/>
      <c r="I75" s="1188"/>
      <c r="J75" s="1188"/>
      <c r="K75" s="1188"/>
      <c r="L75" s="1188"/>
      <c r="M75" s="1188"/>
      <c r="N75" s="1188"/>
      <c r="O75" s="1188"/>
      <c r="P75" s="1188"/>
      <c r="Q75" s="1188"/>
      <c r="R75" s="1188"/>
      <c r="S75" s="1188"/>
      <c r="T75" s="1188"/>
      <c r="U75" s="1188"/>
      <c r="V75" s="1188"/>
      <c r="W75" s="1188"/>
      <c r="AR75" s="35">
        <v>0</v>
      </c>
    </row>
    <row r="76" spans="1:44" ht="17.25" hidden="1" customHeight="1">
      <c r="E76" s="1186" t="s">
        <v>226</v>
      </c>
      <c r="F76" s="1186"/>
      <c r="G76" s="1187"/>
      <c r="H76" s="1187"/>
      <c r="I76" s="1187"/>
      <c r="J76" s="1187"/>
      <c r="K76" s="1187"/>
      <c r="L76" s="1187"/>
      <c r="M76" s="1187"/>
      <c r="N76" s="1187"/>
      <c r="O76" s="1187"/>
      <c r="P76" s="1187"/>
      <c r="Q76" s="1187"/>
      <c r="R76" s="1187"/>
      <c r="S76" s="1187"/>
      <c r="T76" s="1187"/>
      <c r="U76" s="1187"/>
      <c r="V76" s="1187"/>
      <c r="W76" s="1187"/>
      <c r="AR76" s="35">
        <v>0</v>
      </c>
    </row>
    <row r="77" spans="1:44" ht="17.25" hidden="1" customHeight="1">
      <c r="E77" s="1186" t="s">
        <v>227</v>
      </c>
      <c r="F77" s="1186"/>
      <c r="G77" s="1187"/>
      <c r="H77" s="1187"/>
      <c r="I77" s="1187"/>
      <c r="J77" s="1187"/>
      <c r="K77" s="1187"/>
      <c r="L77" s="1187"/>
      <c r="M77" s="1187"/>
      <c r="N77" s="1187"/>
      <c r="O77" s="1187"/>
      <c r="P77" s="1187"/>
      <c r="Q77" s="1187"/>
      <c r="R77" s="1187"/>
      <c r="S77" s="1187"/>
      <c r="T77" s="1187"/>
      <c r="U77" s="1187"/>
      <c r="V77" s="1187"/>
      <c r="W77" s="1187"/>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8"/>
      <c r="C79" s="77"/>
      <c r="D79" s="1181">
        <v>1</v>
      </c>
      <c r="E79" s="1170" t="s">
        <v>228</v>
      </c>
      <c r="F79" s="1183" t="s">
        <v>19</v>
      </c>
      <c r="G79" s="1170"/>
      <c r="H79" s="1172"/>
      <c r="I79" s="1174"/>
      <c r="J79" s="1176"/>
      <c r="K79" s="1168"/>
      <c r="L79" s="1168"/>
      <c r="M79" s="1168"/>
      <c r="N79" s="1179"/>
      <c r="O79" s="1168"/>
      <c r="P79" s="1168"/>
      <c r="Q79" s="1168"/>
      <c r="R79" s="1166"/>
      <c r="S79" s="1168"/>
      <c r="T79" s="804"/>
      <c r="U79" s="804"/>
      <c r="V79" s="803"/>
      <c r="W79" s="746"/>
      <c r="Y79" s="731"/>
      <c r="Z79" s="731"/>
      <c r="AA79" s="731"/>
      <c r="AB79" s="731"/>
      <c r="AC79" s="731" t="s">
        <v>229</v>
      </c>
      <c r="AD79" s="731" t="s">
        <v>230</v>
      </c>
      <c r="AE79" s="731" t="s">
        <v>231</v>
      </c>
      <c r="AF79" s="731" t="s">
        <v>232</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hidden="1" customHeight="1">
      <c r="A80" s="188"/>
      <c r="D80" s="1181"/>
      <c r="E80" s="1170"/>
      <c r="F80" s="1184"/>
      <c r="G80" s="1170"/>
      <c r="H80" s="1173"/>
      <c r="I80" s="1175"/>
      <c r="J80" s="1177"/>
      <c r="K80" s="1169"/>
      <c r="L80" s="1169"/>
      <c r="M80" s="1169"/>
      <c r="N80" s="1180"/>
      <c r="O80" s="1169"/>
      <c r="P80" s="1169"/>
      <c r="Q80" s="1169"/>
      <c r="R80" s="1167"/>
      <c r="S80" s="1169"/>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8"/>
      <c r="C81" s="77"/>
      <c r="D81" s="1181"/>
      <c r="E81" s="1170"/>
      <c r="F81" s="1184"/>
      <c r="G81" s="1170"/>
      <c r="H81" s="1173"/>
      <c r="I81" s="1175"/>
      <c r="J81" s="1178"/>
      <c r="K81" s="1169"/>
      <c r="L81" s="1169"/>
      <c r="M81" s="1169"/>
      <c r="N81" s="1167"/>
      <c r="O81" s="1169"/>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hidden="1" customHeight="1">
      <c r="A82" s="188"/>
      <c r="D82" s="1181"/>
      <c r="E82" s="1170"/>
      <c r="F82" s="1184"/>
      <c r="G82" s="1170"/>
      <c r="H82" s="1173"/>
      <c r="I82" s="1175"/>
      <c r="J82" s="1178"/>
      <c r="K82" s="1169"/>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8"/>
      <c r="D83" s="1182"/>
      <c r="E83" s="1171"/>
      <c r="F83" s="1185"/>
      <c r="G83" s="1171"/>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8"/>
      <c r="C84" s="77"/>
      <c r="D84" s="1181">
        <v>2</v>
      </c>
      <c r="E84" s="1170" t="s">
        <v>233</v>
      </c>
      <c r="F84" s="1183" t="s">
        <v>19</v>
      </c>
      <c r="G84" s="1170"/>
      <c r="H84" s="1172"/>
      <c r="I84" s="1174"/>
      <c r="J84" s="1176"/>
      <c r="K84" s="1168"/>
      <c r="L84" s="1168"/>
      <c r="M84" s="1168"/>
      <c r="N84" s="1179"/>
      <c r="O84" s="1168"/>
      <c r="P84" s="1168"/>
      <c r="Q84" s="1168"/>
      <c r="R84" s="1166"/>
      <c r="S84" s="1168"/>
      <c r="T84" s="804"/>
      <c r="U84" s="804"/>
      <c r="V84" s="803"/>
      <c r="W84" s="746"/>
      <c r="X84" s="731"/>
      <c r="Y84" s="731"/>
      <c r="Z84" s="731"/>
      <c r="AA84" s="731"/>
      <c r="AB84" s="731"/>
      <c r="AC84" s="731" t="s">
        <v>234</v>
      </c>
      <c r="AD84" s="731" t="s">
        <v>235</v>
      </c>
      <c r="AE84" s="731" t="s">
        <v>236</v>
      </c>
      <c r="AF84" s="731" t="s">
        <v>237</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hidden="1" customHeight="1">
      <c r="A85" s="188"/>
      <c r="D85" s="1181"/>
      <c r="E85" s="1170"/>
      <c r="F85" s="1184"/>
      <c r="G85" s="1170"/>
      <c r="H85" s="1173"/>
      <c r="I85" s="1175"/>
      <c r="J85" s="1177"/>
      <c r="K85" s="1169"/>
      <c r="L85" s="1169"/>
      <c r="M85" s="1169"/>
      <c r="N85" s="1180"/>
      <c r="O85" s="1169"/>
      <c r="P85" s="1169"/>
      <c r="Q85" s="1169"/>
      <c r="R85" s="1167"/>
      <c r="S85" s="1169"/>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8"/>
      <c r="D86" s="1182"/>
      <c r="E86" s="1171"/>
      <c r="F86" s="1184"/>
      <c r="G86" s="1171"/>
      <c r="H86" s="1173"/>
      <c r="I86" s="1175"/>
      <c r="J86" s="1178"/>
      <c r="K86" s="1169"/>
      <c r="L86" s="1169"/>
      <c r="M86" s="1169"/>
      <c r="N86" s="1167"/>
      <c r="O86" s="1169"/>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8"/>
      <c r="D87" s="1182"/>
      <c r="E87" s="1171"/>
      <c r="F87" s="1184"/>
      <c r="G87" s="1171"/>
      <c r="H87" s="1173"/>
      <c r="I87" s="1175"/>
      <c r="J87" s="1178"/>
      <c r="K87" s="1169"/>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8"/>
      <c r="D88" s="1182"/>
      <c r="E88" s="1171"/>
      <c r="F88" s="1185"/>
      <c r="G88" s="1171"/>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8"/>
      <c r="C89" s="77"/>
      <c r="D89" s="1181">
        <v>3</v>
      </c>
      <c r="E89" s="1170" t="s">
        <v>238</v>
      </c>
      <c r="F89" s="1183" t="s">
        <v>19</v>
      </c>
      <c r="G89" s="1170"/>
      <c r="H89" s="1172"/>
      <c r="I89" s="1174"/>
      <c r="J89" s="1176"/>
      <c r="K89" s="1168"/>
      <c r="L89" s="1168"/>
      <c r="M89" s="1168"/>
      <c r="N89" s="1179"/>
      <c r="O89" s="1168"/>
      <c r="P89" s="1168"/>
      <c r="Q89" s="1168"/>
      <c r="R89" s="1166"/>
      <c r="S89" s="1168"/>
      <c r="T89" s="804"/>
      <c r="U89" s="804"/>
      <c r="V89" s="803"/>
      <c r="W89" s="746"/>
      <c r="X89" s="731"/>
      <c r="Y89" s="731"/>
      <c r="Z89" s="731"/>
      <c r="AA89" s="731"/>
      <c r="AB89" s="731"/>
      <c r="AC89" s="731" t="s">
        <v>239</v>
      </c>
      <c r="AD89" s="731" t="s">
        <v>240</v>
      </c>
      <c r="AE89" s="731" t="s">
        <v>241</v>
      </c>
      <c r="AF89" s="731" t="s">
        <v>242</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hidden="1" customHeight="1">
      <c r="A90" s="188"/>
      <c r="D90" s="1181"/>
      <c r="E90" s="1170"/>
      <c r="F90" s="1184"/>
      <c r="G90" s="1170"/>
      <c r="H90" s="1173"/>
      <c r="I90" s="1175"/>
      <c r="J90" s="1177"/>
      <c r="K90" s="1169"/>
      <c r="L90" s="1169"/>
      <c r="M90" s="1169"/>
      <c r="N90" s="1180"/>
      <c r="O90" s="1169"/>
      <c r="P90" s="1169"/>
      <c r="Q90" s="1169"/>
      <c r="R90" s="1167"/>
      <c r="S90" s="1169"/>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D91" s="1182"/>
      <c r="E91" s="1171"/>
      <c r="F91" s="1184"/>
      <c r="G91" s="1171"/>
      <c r="H91" s="1173"/>
      <c r="I91" s="1175"/>
      <c r="J91" s="1178"/>
      <c r="K91" s="1169"/>
      <c r="L91" s="1169"/>
      <c r="M91" s="1169"/>
      <c r="N91" s="1167"/>
      <c r="O91" s="1169"/>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8"/>
      <c r="D92" s="1182"/>
      <c r="E92" s="1171"/>
      <c r="F92" s="1184"/>
      <c r="G92" s="1171"/>
      <c r="H92" s="1173"/>
      <c r="I92" s="1175"/>
      <c r="J92" s="1178"/>
      <c r="K92" s="1169"/>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D93" s="1182"/>
      <c r="E93" s="1171"/>
      <c r="F93" s="1185"/>
      <c r="G93" s="1171"/>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8"/>
      <c r="C94" s="77"/>
      <c r="D94" s="1181">
        <v>4</v>
      </c>
      <c r="E94" s="1170" t="s">
        <v>243</v>
      </c>
      <c r="F94" s="1183" t="s">
        <v>19</v>
      </c>
      <c r="G94" s="1170"/>
      <c r="H94" s="1172"/>
      <c r="I94" s="1174"/>
      <c r="J94" s="1176"/>
      <c r="K94" s="1168"/>
      <c r="L94" s="1168"/>
      <c r="M94" s="1168"/>
      <c r="N94" s="1179"/>
      <c r="O94" s="1168"/>
      <c r="P94" s="1168"/>
      <c r="Q94" s="1168"/>
      <c r="R94" s="1166"/>
      <c r="S94" s="1168"/>
      <c r="T94" s="804"/>
      <c r="U94" s="804"/>
      <c r="V94" s="803"/>
      <c r="W94" s="746"/>
      <c r="X94" s="731"/>
      <c r="Y94" s="731"/>
      <c r="Z94" s="731"/>
      <c r="AA94" s="731"/>
      <c r="AB94" s="731"/>
      <c r="AC94" s="731" t="s">
        <v>244</v>
      </c>
      <c r="AD94" s="731" t="s">
        <v>245</v>
      </c>
      <c r="AE94" s="731" t="s">
        <v>246</v>
      </c>
      <c r="AF94" s="731" t="s">
        <v>247</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hidden="1" customHeight="1">
      <c r="A95" s="188"/>
      <c r="D95" s="1181"/>
      <c r="E95" s="1170"/>
      <c r="F95" s="1184"/>
      <c r="G95" s="1170"/>
      <c r="H95" s="1173"/>
      <c r="I95" s="1175"/>
      <c r="J95" s="1177"/>
      <c r="K95" s="1169"/>
      <c r="L95" s="1169"/>
      <c r="M95" s="1169"/>
      <c r="N95" s="1180"/>
      <c r="O95" s="1169"/>
      <c r="P95" s="1169"/>
      <c r="Q95" s="1169"/>
      <c r="R95" s="1167"/>
      <c r="S95" s="1169"/>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D96" s="1182"/>
      <c r="E96" s="1171"/>
      <c r="F96" s="1184"/>
      <c r="G96" s="1171"/>
      <c r="H96" s="1173"/>
      <c r="I96" s="1175"/>
      <c r="J96" s="1178"/>
      <c r="K96" s="1169"/>
      <c r="L96" s="1169"/>
      <c r="M96" s="1169"/>
      <c r="N96" s="1167"/>
      <c r="O96" s="1169"/>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8"/>
      <c r="D97" s="1182"/>
      <c r="E97" s="1171"/>
      <c r="F97" s="1184"/>
      <c r="G97" s="1171"/>
      <c r="H97" s="1173"/>
      <c r="I97" s="1175"/>
      <c r="J97" s="1178"/>
      <c r="K97" s="1169"/>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82"/>
      <c r="E98" s="1171"/>
      <c r="F98" s="1185"/>
      <c r="G98" s="1171"/>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C99" s="77"/>
      <c r="D99" s="1181">
        <v>5</v>
      </c>
      <c r="E99" s="1170" t="s">
        <v>248</v>
      </c>
      <c r="F99" s="1183" t="s">
        <v>19</v>
      </c>
      <c r="G99" s="1170"/>
      <c r="H99" s="1172"/>
      <c r="I99" s="1174"/>
      <c r="J99" s="1176"/>
      <c r="K99" s="1168"/>
      <c r="L99" s="1168"/>
      <c r="M99" s="1168"/>
      <c r="N99" s="1179"/>
      <c r="O99" s="1168"/>
      <c r="P99" s="1168"/>
      <c r="Q99" s="1168"/>
      <c r="R99" s="1166"/>
      <c r="S99" s="1168"/>
      <c r="T99" s="804"/>
      <c r="U99" s="804"/>
      <c r="V99" s="803"/>
      <c r="W99" s="746"/>
      <c r="X99" s="731"/>
      <c r="Y99" s="731"/>
      <c r="Z99" s="731"/>
      <c r="AA99" s="731"/>
      <c r="AB99" s="731"/>
      <c r="AC99" s="731" t="s">
        <v>249</v>
      </c>
      <c r="AD99" s="731" t="s">
        <v>250</v>
      </c>
      <c r="AE99" s="731" t="s">
        <v>251</v>
      </c>
      <c r="AF99" s="731" t="s">
        <v>252</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hidden="1" customHeight="1">
      <c r="A100" s="188"/>
      <c r="D100" s="1181"/>
      <c r="E100" s="1170"/>
      <c r="F100" s="1184"/>
      <c r="G100" s="1170"/>
      <c r="H100" s="1173"/>
      <c r="I100" s="1175"/>
      <c r="J100" s="1177"/>
      <c r="K100" s="1169"/>
      <c r="L100" s="1169"/>
      <c r="M100" s="1169"/>
      <c r="N100" s="1180"/>
      <c r="O100" s="1169"/>
      <c r="P100" s="1169"/>
      <c r="Q100" s="1169"/>
      <c r="R100" s="1167"/>
      <c r="S100" s="1169"/>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D101" s="1182"/>
      <c r="E101" s="1171"/>
      <c r="F101" s="1184"/>
      <c r="G101" s="1171"/>
      <c r="H101" s="1173"/>
      <c r="I101" s="1175"/>
      <c r="J101" s="1178"/>
      <c r="K101" s="1169"/>
      <c r="L101" s="1169"/>
      <c r="M101" s="1169"/>
      <c r="N101" s="1167"/>
      <c r="O101" s="1169"/>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8"/>
      <c r="D102" s="1182"/>
      <c r="E102" s="1171"/>
      <c r="F102" s="1184"/>
      <c r="G102" s="1171"/>
      <c r="H102" s="1173"/>
      <c r="I102" s="1175"/>
      <c r="J102" s="1178"/>
      <c r="K102" s="1169"/>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82"/>
      <c r="E103" s="1171"/>
      <c r="F103" s="1185"/>
      <c r="G103" s="1171"/>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81">
        <v>1</v>
      </c>
      <c r="E105" s="1170" t="s">
        <v>253</v>
      </c>
      <c r="F105" s="1183" t="s">
        <v>19</v>
      </c>
      <c r="G105" s="1170"/>
      <c r="H105" s="1172"/>
      <c r="I105" s="1174"/>
      <c r="J105" s="1176"/>
      <c r="K105" s="1168"/>
      <c r="L105" s="1168"/>
      <c r="M105" s="1168"/>
      <c r="N105" s="1179"/>
      <c r="O105" s="1168"/>
      <c r="P105" s="1168"/>
      <c r="Q105" s="1168"/>
      <c r="R105" s="1166"/>
      <c r="S105" s="1168"/>
      <c r="T105" s="804"/>
      <c r="U105" s="804"/>
      <c r="V105" s="803"/>
      <c r="W105" s="746"/>
      <c r="Y105" s="731"/>
      <c r="Z105" s="731"/>
      <c r="AA105" s="731"/>
      <c r="AB105" s="731"/>
      <c r="AC105" s="731" t="s">
        <v>254</v>
      </c>
      <c r="AD105" s="731" t="s">
        <v>255</v>
      </c>
      <c r="AE105" s="731" t="s">
        <v>256</v>
      </c>
      <c r="AF105" s="731" t="s">
        <v>257</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hidden="1" customHeight="1">
      <c r="A106" s="188"/>
      <c r="D106" s="1181"/>
      <c r="E106" s="1170"/>
      <c r="F106" s="1184"/>
      <c r="G106" s="1170"/>
      <c r="H106" s="1173"/>
      <c r="I106" s="1175"/>
      <c r="J106" s="1177"/>
      <c r="K106" s="1169"/>
      <c r="L106" s="1169"/>
      <c r="M106" s="1169"/>
      <c r="N106" s="1180"/>
      <c r="O106" s="1169"/>
      <c r="P106" s="1169"/>
      <c r="Q106" s="1169"/>
      <c r="R106" s="1167"/>
      <c r="S106" s="1169"/>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81"/>
      <c r="E107" s="1170"/>
      <c r="F107" s="1184"/>
      <c r="G107" s="1170"/>
      <c r="H107" s="1173"/>
      <c r="I107" s="1175"/>
      <c r="J107" s="1178"/>
      <c r="K107" s="1169"/>
      <c r="L107" s="1169"/>
      <c r="M107" s="1169"/>
      <c r="N107" s="1167"/>
      <c r="O107" s="1169"/>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hidden="1" customHeight="1">
      <c r="A108" s="188"/>
      <c r="D108" s="1181"/>
      <c r="E108" s="1170"/>
      <c r="F108" s="1184"/>
      <c r="G108" s="1170"/>
      <c r="H108" s="1173"/>
      <c r="I108" s="1175"/>
      <c r="J108" s="1178"/>
      <c r="K108" s="1169"/>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82"/>
      <c r="E109" s="1171"/>
      <c r="F109" s="1185"/>
      <c r="G109" s="1171"/>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81">
        <v>2</v>
      </c>
      <c r="E110" s="1170" t="s">
        <v>258</v>
      </c>
      <c r="F110" s="1183" t="s">
        <v>19</v>
      </c>
      <c r="G110" s="1170"/>
      <c r="H110" s="1172"/>
      <c r="I110" s="1174"/>
      <c r="J110" s="1176"/>
      <c r="K110" s="1168"/>
      <c r="L110" s="1168"/>
      <c r="M110" s="1168"/>
      <c r="N110" s="1179"/>
      <c r="O110" s="1168"/>
      <c r="P110" s="1168"/>
      <c r="Q110" s="1168"/>
      <c r="R110" s="1166"/>
      <c r="S110" s="1168"/>
      <c r="T110" s="804"/>
      <c r="U110" s="804"/>
      <c r="V110" s="803"/>
      <c r="W110" s="746"/>
      <c r="X110" s="731"/>
      <c r="Y110" s="731"/>
      <c r="Z110" s="731"/>
      <c r="AA110" s="731"/>
      <c r="AB110" s="731"/>
      <c r="AC110" s="731" t="s">
        <v>259</v>
      </c>
      <c r="AD110" s="731" t="s">
        <v>260</v>
      </c>
      <c r="AE110" s="731" t="s">
        <v>261</v>
      </c>
      <c r="AF110" s="731" t="s">
        <v>262</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hidden="1" customHeight="1">
      <c r="A111" s="188"/>
      <c r="D111" s="1181"/>
      <c r="E111" s="1170"/>
      <c r="F111" s="1184"/>
      <c r="G111" s="1170"/>
      <c r="H111" s="1173"/>
      <c r="I111" s="1175"/>
      <c r="J111" s="1177"/>
      <c r="K111" s="1169"/>
      <c r="L111" s="1169"/>
      <c r="M111" s="1169"/>
      <c r="N111" s="1180"/>
      <c r="O111" s="1169"/>
      <c r="P111" s="1169"/>
      <c r="Q111" s="1169"/>
      <c r="R111" s="1167"/>
      <c r="S111" s="1169"/>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82"/>
      <c r="E112" s="1171"/>
      <c r="F112" s="1184"/>
      <c r="G112" s="1171"/>
      <c r="H112" s="1173"/>
      <c r="I112" s="1175"/>
      <c r="J112" s="1178"/>
      <c r="K112" s="1169"/>
      <c r="L112" s="1169"/>
      <c r="M112" s="1169"/>
      <c r="N112" s="1167"/>
      <c r="O112" s="1169"/>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82"/>
      <c r="E113" s="1171"/>
      <c r="F113" s="1184"/>
      <c r="G113" s="1171"/>
      <c r="H113" s="1173"/>
      <c r="I113" s="1175"/>
      <c r="J113" s="1178"/>
      <c r="K113" s="1169"/>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82"/>
      <c r="E114" s="1171"/>
      <c r="F114" s="1185"/>
      <c r="G114" s="1171"/>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81">
        <v>3</v>
      </c>
      <c r="E115" s="1170" t="s">
        <v>263</v>
      </c>
      <c r="F115" s="1183" t="s">
        <v>19</v>
      </c>
      <c r="G115" s="1170"/>
      <c r="H115" s="1172"/>
      <c r="I115" s="1174"/>
      <c r="J115" s="1176"/>
      <c r="K115" s="1168"/>
      <c r="L115" s="1168"/>
      <c r="M115" s="1168"/>
      <c r="N115" s="1179"/>
      <c r="O115" s="1168"/>
      <c r="P115" s="1168"/>
      <c r="Q115" s="1168"/>
      <c r="R115" s="1166"/>
      <c r="S115" s="1168"/>
      <c r="T115" s="804"/>
      <c r="U115" s="804"/>
      <c r="V115" s="803"/>
      <c r="W115" s="746"/>
      <c r="X115" s="731"/>
      <c r="Y115" s="731"/>
      <c r="Z115" s="731"/>
      <c r="AA115" s="731"/>
      <c r="AB115" s="731"/>
      <c r="AC115" s="731" t="s">
        <v>264</v>
      </c>
      <c r="AD115" s="731" t="s">
        <v>265</v>
      </c>
      <c r="AE115" s="731" t="s">
        <v>266</v>
      </c>
      <c r="AF115" s="731" t="s">
        <v>267</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hidden="1" customHeight="1">
      <c r="A116" s="188"/>
      <c r="D116" s="1181"/>
      <c r="E116" s="1170"/>
      <c r="F116" s="1184"/>
      <c r="G116" s="1170"/>
      <c r="H116" s="1173"/>
      <c r="I116" s="1175"/>
      <c r="J116" s="1177"/>
      <c r="K116" s="1169"/>
      <c r="L116" s="1169"/>
      <c r="M116" s="1169"/>
      <c r="N116" s="1180"/>
      <c r="O116" s="1169"/>
      <c r="P116" s="1169"/>
      <c r="Q116" s="1169"/>
      <c r="R116" s="1167"/>
      <c r="S116" s="1169"/>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82"/>
      <c r="E117" s="1171"/>
      <c r="F117" s="1184"/>
      <c r="G117" s="1171"/>
      <c r="H117" s="1173"/>
      <c r="I117" s="1175"/>
      <c r="J117" s="1178"/>
      <c r="K117" s="1169"/>
      <c r="L117" s="1169"/>
      <c r="M117" s="1169"/>
      <c r="N117" s="1167"/>
      <c r="O117" s="1169"/>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82"/>
      <c r="E118" s="1171"/>
      <c r="F118" s="1184"/>
      <c r="G118" s="1171"/>
      <c r="H118" s="1173"/>
      <c r="I118" s="1175"/>
      <c r="J118" s="1178"/>
      <c r="K118" s="1169"/>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82"/>
      <c r="E119" s="1171"/>
      <c r="F119" s="1185"/>
      <c r="G119" s="1171"/>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C121" s="77"/>
      <c r="D121" s="1181">
        <v>1</v>
      </c>
      <c r="E121" s="1170" t="s">
        <v>268</v>
      </c>
      <c r="F121" s="1183" t="s">
        <v>19</v>
      </c>
      <c r="G121" s="1170"/>
      <c r="H121" s="1172"/>
      <c r="I121" s="1174"/>
      <c r="J121" s="1176"/>
      <c r="K121" s="1168"/>
      <c r="L121" s="1168"/>
      <c r="M121" s="1168"/>
      <c r="N121" s="1179"/>
      <c r="O121" s="1168"/>
      <c r="P121" s="1168"/>
      <c r="Q121" s="1168"/>
      <c r="R121" s="1166"/>
      <c r="S121" s="1168"/>
      <c r="T121" s="804"/>
      <c r="U121" s="804"/>
      <c r="V121" s="803"/>
      <c r="W121" s="746"/>
      <c r="Y121" s="731"/>
      <c r="Z121" s="731"/>
      <c r="AA121" s="731"/>
      <c r="AB121" s="731"/>
      <c r="AC121" s="731" t="s">
        <v>269</v>
      </c>
      <c r="AD121" s="731" t="s">
        <v>270</v>
      </c>
      <c r="AE121" s="731" t="s">
        <v>271</v>
      </c>
      <c r="AF121" s="731" t="s">
        <v>272</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hidden="1" customHeight="1">
      <c r="A122" s="188"/>
      <c r="D122" s="1181"/>
      <c r="E122" s="1170"/>
      <c r="F122" s="1184"/>
      <c r="G122" s="1170"/>
      <c r="H122" s="1173"/>
      <c r="I122" s="1175"/>
      <c r="J122" s="1177"/>
      <c r="K122" s="1169"/>
      <c r="L122" s="1169"/>
      <c r="M122" s="1169"/>
      <c r="N122" s="1180"/>
      <c r="O122" s="1169"/>
      <c r="P122" s="1169"/>
      <c r="Q122" s="1169"/>
      <c r="R122" s="1167"/>
      <c r="S122" s="1169"/>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8"/>
      <c r="C123" s="77"/>
      <c r="D123" s="1181"/>
      <c r="E123" s="1170"/>
      <c r="F123" s="1184"/>
      <c r="G123" s="1170"/>
      <c r="H123" s="1173"/>
      <c r="I123" s="1175"/>
      <c r="J123" s="1178"/>
      <c r="K123" s="1169"/>
      <c r="L123" s="1169"/>
      <c r="M123" s="1169"/>
      <c r="N123" s="1167"/>
      <c r="O123" s="1169"/>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hidden="1" customHeight="1">
      <c r="A124" s="188"/>
      <c r="D124" s="1181"/>
      <c r="E124" s="1170"/>
      <c r="F124" s="1184"/>
      <c r="G124" s="1170"/>
      <c r="H124" s="1173"/>
      <c r="I124" s="1175"/>
      <c r="J124" s="1178"/>
      <c r="K124" s="1169"/>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82"/>
      <c r="E125" s="1171"/>
      <c r="F125" s="1185"/>
      <c r="G125" s="1171"/>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C126" s="77"/>
      <c r="D126" s="1181">
        <v>2</v>
      </c>
      <c r="E126" s="1170" t="s">
        <v>273</v>
      </c>
      <c r="F126" s="1183" t="s">
        <v>19</v>
      </c>
      <c r="G126" s="1170"/>
      <c r="H126" s="1172"/>
      <c r="I126" s="1174"/>
      <c r="J126" s="1176"/>
      <c r="K126" s="1168"/>
      <c r="L126" s="1168"/>
      <c r="M126" s="1168"/>
      <c r="N126" s="1179"/>
      <c r="O126" s="1168"/>
      <c r="P126" s="1168"/>
      <c r="Q126" s="1168"/>
      <c r="R126" s="1166"/>
      <c r="S126" s="1168"/>
      <c r="T126" s="804"/>
      <c r="U126" s="804"/>
      <c r="V126" s="803"/>
      <c r="W126" s="746"/>
      <c r="X126" s="731"/>
      <c r="Y126" s="731"/>
      <c r="Z126" s="731"/>
      <c r="AA126" s="731"/>
      <c r="AB126" s="731"/>
      <c r="AC126" s="731" t="s">
        <v>274</v>
      </c>
      <c r="AD126" s="731" t="s">
        <v>275</v>
      </c>
      <c r="AE126" s="731" t="s">
        <v>276</v>
      </c>
      <c r="AF126" s="731" t="s">
        <v>277</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hidden="1" customHeight="1">
      <c r="A127" s="188"/>
      <c r="D127" s="1181"/>
      <c r="E127" s="1170"/>
      <c r="F127" s="1184"/>
      <c r="G127" s="1170"/>
      <c r="H127" s="1173"/>
      <c r="I127" s="1175"/>
      <c r="J127" s="1177"/>
      <c r="K127" s="1169"/>
      <c r="L127" s="1169"/>
      <c r="M127" s="1169"/>
      <c r="N127" s="1180"/>
      <c r="O127" s="1169"/>
      <c r="P127" s="1169"/>
      <c r="Q127" s="1169"/>
      <c r="R127" s="1167"/>
      <c r="S127" s="1169"/>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8"/>
      <c r="D128" s="1182"/>
      <c r="E128" s="1171"/>
      <c r="F128" s="1184"/>
      <c r="G128" s="1171"/>
      <c r="H128" s="1173"/>
      <c r="I128" s="1175"/>
      <c r="J128" s="1178"/>
      <c r="K128" s="1169"/>
      <c r="L128" s="1169"/>
      <c r="M128" s="1169"/>
      <c r="N128" s="1167"/>
      <c r="O128" s="1169"/>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82"/>
      <c r="E129" s="1171"/>
      <c r="F129" s="1184"/>
      <c r="G129" s="1171"/>
      <c r="H129" s="1173"/>
      <c r="I129" s="1175"/>
      <c r="J129" s="1178"/>
      <c r="K129" s="1169"/>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82"/>
      <c r="E130" s="1171"/>
      <c r="F130" s="1185"/>
      <c r="G130" s="1171"/>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C131" s="77"/>
      <c r="D131" s="1181">
        <v>3</v>
      </c>
      <c r="E131" s="1170" t="s">
        <v>278</v>
      </c>
      <c r="F131" s="1183" t="s">
        <v>19</v>
      </c>
      <c r="G131" s="1170"/>
      <c r="H131" s="1172"/>
      <c r="I131" s="1174"/>
      <c r="J131" s="1176"/>
      <c r="K131" s="1168"/>
      <c r="L131" s="1168"/>
      <c r="M131" s="1168"/>
      <c r="N131" s="1179"/>
      <c r="O131" s="1168"/>
      <c r="P131" s="1168"/>
      <c r="Q131" s="1168"/>
      <c r="R131" s="1166"/>
      <c r="S131" s="1168"/>
      <c r="T131" s="804"/>
      <c r="U131" s="804"/>
      <c r="V131" s="803"/>
      <c r="W131" s="746"/>
      <c r="X131" s="731"/>
      <c r="Y131" s="731"/>
      <c r="Z131" s="731"/>
      <c r="AA131" s="731"/>
      <c r="AB131" s="731"/>
      <c r="AC131" s="731" t="s">
        <v>279</v>
      </c>
      <c r="AD131" s="731" t="s">
        <v>280</v>
      </c>
      <c r="AE131" s="731" t="s">
        <v>281</v>
      </c>
      <c r="AF131" s="731" t="s">
        <v>282</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hidden="1" customHeight="1">
      <c r="A132" s="188"/>
      <c r="D132" s="1181"/>
      <c r="E132" s="1170"/>
      <c r="F132" s="1184"/>
      <c r="G132" s="1170"/>
      <c r="H132" s="1173"/>
      <c r="I132" s="1175"/>
      <c r="J132" s="1177"/>
      <c r="K132" s="1169"/>
      <c r="L132" s="1169"/>
      <c r="M132" s="1169"/>
      <c r="N132" s="1180"/>
      <c r="O132" s="1169"/>
      <c r="P132" s="1169"/>
      <c r="Q132" s="1169"/>
      <c r="R132" s="1167"/>
      <c r="S132" s="1169"/>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D133" s="1182"/>
      <c r="E133" s="1171"/>
      <c r="F133" s="1184"/>
      <c r="G133" s="1171"/>
      <c r="H133" s="1173"/>
      <c r="I133" s="1175"/>
      <c r="J133" s="1178"/>
      <c r="K133" s="1169"/>
      <c r="L133" s="1169"/>
      <c r="M133" s="1169"/>
      <c r="N133" s="1167"/>
      <c r="O133" s="1169"/>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8"/>
      <c r="D134" s="1182"/>
      <c r="E134" s="1171"/>
      <c r="F134" s="1184"/>
      <c r="G134" s="1171"/>
      <c r="H134" s="1173"/>
      <c r="I134" s="1175"/>
      <c r="J134" s="1178"/>
      <c r="K134" s="1169"/>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D135" s="1182"/>
      <c r="E135" s="1171"/>
      <c r="F135" s="1185"/>
      <c r="G135" s="1171"/>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9" t="s">
        <v>82</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8A337-DA58-9EE6-3D91-D6AF55C4A375}">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50" style="63" customWidth="1"/>
    <col min="12" max="20" width="10" style="11" customWidth="1"/>
    <col min="21" max="21" width="10" style="302" customWidth="1"/>
    <col min="22" max="22" width="10.5703125" style="11" hidden="1"/>
  </cols>
  <sheetData>
    <row r="1" spans="1:22" s="63" customFormat="1" ht="22.5" hidden="1" customHeight="1">
      <c r="C1" s="301"/>
      <c r="G1" s="63">
        <v>4</v>
      </c>
      <c r="I1" s="63">
        <v>4</v>
      </c>
      <c r="U1" s="236"/>
      <c r="V1" s="63" t="s">
        <v>14</v>
      </c>
    </row>
    <row r="2" spans="1:22" s="11" customFormat="1" ht="15" hidden="1" customHeight="1">
      <c r="A2" s="8"/>
      <c r="C2" s="87"/>
      <c r="D2" s="55"/>
      <c r="E2" s="383"/>
      <c r="F2" s="58"/>
      <c r="G2" s="79"/>
      <c r="H2" s="79"/>
      <c r="I2" s="79"/>
      <c r="J2" s="79"/>
      <c r="U2" s="302"/>
      <c r="V2" s="11">
        <v>0</v>
      </c>
    </row>
    <row r="3" spans="1:22" s="63" customFormat="1" ht="15" hidden="1" customHeight="1">
      <c r="C3" s="301"/>
      <c r="U3" s="236"/>
      <c r="V3" s="63">
        <v>0</v>
      </c>
    </row>
    <row r="4" spans="1:22" ht="15.75" customHeight="1">
      <c r="V4" s="11">
        <v>15</v>
      </c>
    </row>
    <row r="5" spans="1:22" ht="66" customHeight="1">
      <c r="D5" s="1256" t="s">
        <v>1160</v>
      </c>
      <c r="E5" s="1256"/>
      <c r="F5" s="1256"/>
      <c r="G5" s="1256"/>
      <c r="H5" s="1256"/>
      <c r="I5" s="1256"/>
      <c r="J5" s="1256"/>
      <c r="V5" s="11">
        <v>63</v>
      </c>
    </row>
    <row r="6" spans="1:22" ht="15.75" customHeight="1">
      <c r="D6" s="1229" t="str">
        <f>IF(org=0,"Не определено",org)</f>
        <v>ООО "Инженерные сети"</v>
      </c>
      <c r="E6" s="1229"/>
      <c r="F6" s="1229"/>
      <c r="G6" s="1229"/>
      <c r="H6" s="1229"/>
      <c r="I6" s="1229"/>
      <c r="J6" s="1229"/>
      <c r="V6" s="11">
        <v>15</v>
      </c>
    </row>
    <row r="7" spans="1:22" ht="15.75" customHeight="1">
      <c r="D7" s="435"/>
      <c r="G7" s="63">
        <v>22</v>
      </c>
      <c r="I7" s="63">
        <v>1</v>
      </c>
      <c r="J7" s="435"/>
      <c r="V7" s="11">
        <v>15</v>
      </c>
    </row>
    <row r="8" spans="1:22" s="11" customFormat="1" ht="1.1499999999999999" customHeight="1">
      <c r="A8" s="8"/>
      <c r="C8" s="87"/>
      <c r="G8" s="63"/>
      <c r="H8" s="435"/>
      <c r="I8" s="63" t="s">
        <v>122</v>
      </c>
      <c r="J8" s="435"/>
      <c r="K8" s="63"/>
      <c r="U8" s="302"/>
      <c r="V8" s="11">
        <v>1</v>
      </c>
    </row>
    <row r="9" spans="1:22" ht="15.75" customHeight="1">
      <c r="D9" s="409"/>
      <c r="E9" s="1362" t="s">
        <v>111</v>
      </c>
      <c r="F9" s="1363"/>
      <c r="G9" s="1387" t="str">
        <f>IF(G8="","",INDEX(DIFFERENTIATION_UNMERGE_VD,MATCH(G8,DIFFERENTIATION_ID_DIFF,0)))</f>
        <v/>
      </c>
      <c r="H9" s="1388"/>
      <c r="I9" s="1387" t="str">
        <f>IF(I8="","",INDEX(DIFFERENTIATION_UNMERGE_VD,MATCH(I8,DIFFERENTIATION_ID_DIFF,0)))</f>
        <v>Производство тепловой энергии. Некомбинированная выработка</v>
      </c>
      <c r="J9" s="1388"/>
      <c r="K9" s="1207" t="s">
        <v>305</v>
      </c>
      <c r="V9" s="11">
        <v>15</v>
      </c>
    </row>
    <row r="10" spans="1:22" s="11" customFormat="1" ht="15.75" customHeight="1">
      <c r="A10" s="8"/>
      <c r="C10" s="87"/>
      <c r="D10" s="409"/>
      <c r="E10" s="1362" t="s">
        <v>568</v>
      </c>
      <c r="F10" s="1363"/>
      <c r="G10" s="1387" t="str">
        <f>IF(G8="","",INDEX(DIFFERENTIATION_UNMERGE_AREA,MATCH(G8,DIFFERENTIATION_ID_DIFF,0)))</f>
        <v/>
      </c>
      <c r="H10" s="1388"/>
      <c r="I10" s="1387" t="str">
        <f>IF(I8="","",INDEX(DIFFERENTIATION_UNMERGE_AREA,MATCH(I8,DIFFERENTIATION_ID_DIFF,0)))</f>
        <v>Территория 1</v>
      </c>
      <c r="J10" s="1388"/>
      <c r="K10" s="1212"/>
      <c r="U10" s="302"/>
      <c r="V10" s="11">
        <v>15</v>
      </c>
    </row>
    <row r="11" spans="1:22" s="11" customFormat="1" ht="15.75" customHeight="1">
      <c r="A11" s="8"/>
      <c r="C11" s="87"/>
      <c r="D11" s="409"/>
      <c r="E11" s="1362" t="s">
        <v>569</v>
      </c>
      <c r="F11" s="1363"/>
      <c r="G11" s="1387" t="str">
        <f>IF(G8="","",INDEX(DIFFERENTIATION_UNMERGE_SYSTEM,MATCH(G8,DIFFERENTIATION_ID_DIFF,0)))</f>
        <v/>
      </c>
      <c r="H11" s="1388"/>
      <c r="I11" s="1387" t="str">
        <f>IF(I8="","",INDEX(DIFFERENTIATION_UNMERGE_SYSTEM,MATCH(I8,DIFFERENTIATION_ID_DIFF,0)))</f>
        <v>без дифференциации</v>
      </c>
      <c r="J11" s="1388"/>
      <c r="K11" s="1212"/>
      <c r="U11" s="302"/>
      <c r="V11" s="11">
        <v>15</v>
      </c>
    </row>
    <row r="12" spans="1:22" s="11" customFormat="1" ht="15.75" customHeight="1">
      <c r="A12" s="8"/>
      <c r="C12" s="87"/>
      <c r="D12" s="1364" t="s">
        <v>304</v>
      </c>
      <c r="E12" s="1365"/>
      <c r="F12" s="1365"/>
      <c r="G12" s="512"/>
      <c r="H12" s="512"/>
      <c r="I12" s="512"/>
      <c r="J12" s="512"/>
      <c r="K12" s="1212"/>
      <c r="U12" s="302"/>
      <c r="V12" s="11">
        <v>15</v>
      </c>
    </row>
    <row r="13" spans="1:22" ht="35.65" customHeight="1">
      <c r="D13" s="41" t="s">
        <v>88</v>
      </c>
      <c r="E13" s="41" t="s">
        <v>306</v>
      </c>
      <c r="F13" s="41" t="s">
        <v>570</v>
      </c>
      <c r="G13" s="389" t="s">
        <v>307</v>
      </c>
      <c r="H13" s="41" t="s">
        <v>394</v>
      </c>
      <c r="I13" s="389" t="s">
        <v>307</v>
      </c>
      <c r="J13" s="41" t="s">
        <v>394</v>
      </c>
      <c r="K13" s="1261"/>
      <c r="V13" s="11">
        <v>34</v>
      </c>
    </row>
    <row r="14" spans="1:22" ht="15" hidden="1" customHeight="1">
      <c r="D14" s="344" t="s">
        <v>115</v>
      </c>
      <c r="E14" s="344" t="s">
        <v>103</v>
      </c>
      <c r="F14" s="344" t="s">
        <v>90</v>
      </c>
      <c r="G14" s="87" t="str">
        <f>G1&amp;".1"</f>
        <v>4.1</v>
      </c>
      <c r="H14" s="87"/>
      <c r="I14" s="87" t="str">
        <f>I1&amp;".1"</f>
        <v>4.1</v>
      </c>
      <c r="J14" s="87"/>
      <c r="K14" s="67"/>
      <c r="V14" s="11">
        <v>0</v>
      </c>
    </row>
    <row r="15" spans="1:22" ht="22.5" hidden="1" customHeight="1">
      <c r="A15" s="11"/>
      <c r="C15" s="77"/>
      <c r="D15" s="41">
        <v>1</v>
      </c>
      <c r="E15" s="153" t="s">
        <v>812</v>
      </c>
      <c r="F15" s="41" t="s">
        <v>813</v>
      </c>
      <c r="G15" s="384"/>
      <c r="H15" s="384"/>
      <c r="I15" s="384"/>
      <c r="J15" s="384"/>
      <c r="K15" s="67" t="s">
        <v>814</v>
      </c>
      <c r="V15" s="11">
        <v>0</v>
      </c>
    </row>
    <row r="16" spans="1:22" ht="22.5" hidden="1" customHeight="1">
      <c r="A16" s="11"/>
      <c r="C16" s="77"/>
      <c r="D16" s="41">
        <v>2</v>
      </c>
      <c r="E16" s="153" t="s">
        <v>815</v>
      </c>
      <c r="F16" s="41" t="s">
        <v>816</v>
      </c>
      <c r="G16" s="384"/>
      <c r="H16" s="384"/>
      <c r="I16" s="384"/>
      <c r="J16" s="384"/>
      <c r="K16" s="67" t="s">
        <v>817</v>
      </c>
      <c r="V16" s="11">
        <v>0</v>
      </c>
    </row>
    <row r="17" spans="1:22" ht="123.75" hidden="1" customHeight="1">
      <c r="A17" s="11"/>
      <c r="C17" s="77"/>
      <c r="D17" s="41">
        <v>3</v>
      </c>
      <c r="E17" s="153" t="s">
        <v>1161</v>
      </c>
      <c r="F17" s="41" t="s">
        <v>310</v>
      </c>
      <c r="G17" s="384"/>
      <c r="H17" s="384"/>
      <c r="I17" s="384"/>
      <c r="J17" s="384"/>
      <c r="K17" s="67" t="s">
        <v>1162</v>
      </c>
      <c r="V17" s="11">
        <v>0</v>
      </c>
    </row>
    <row r="18" spans="1:22" ht="48.2" customHeight="1">
      <c r="A18" s="11"/>
      <c r="C18" s="77"/>
      <c r="D18" s="41">
        <v>3</v>
      </c>
      <c r="E18" s="153" t="s">
        <v>818</v>
      </c>
      <c r="F18" s="41" t="s">
        <v>310</v>
      </c>
      <c r="G18" s="41" t="s">
        <v>310</v>
      </c>
      <c r="H18" s="340" t="s">
        <v>310</v>
      </c>
      <c r="I18" s="41" t="s">
        <v>310</v>
      </c>
      <c r="J18" s="340" t="s">
        <v>310</v>
      </c>
      <c r="K18" s="67" t="s">
        <v>1163</v>
      </c>
      <c r="V18" s="11">
        <v>46</v>
      </c>
    </row>
    <row r="19" spans="1:22" ht="35.65" customHeight="1">
      <c r="A19" s="11"/>
      <c r="C19" s="77"/>
      <c r="D19" s="43" t="s">
        <v>328</v>
      </c>
      <c r="E19" s="323" t="s">
        <v>820</v>
      </c>
      <c r="F19" s="41" t="s">
        <v>821</v>
      </c>
      <c r="G19" s="468"/>
      <c r="H19" s="37"/>
      <c r="I19" s="468"/>
      <c r="J19" s="228"/>
      <c r="K19" s="385"/>
      <c r="V19" s="11">
        <v>34</v>
      </c>
    </row>
    <row r="20" spans="1:22" ht="35.65" customHeight="1">
      <c r="A20" s="11"/>
      <c r="C20" s="77"/>
      <c r="D20" s="43" t="s">
        <v>336</v>
      </c>
      <c r="E20" s="323" t="s">
        <v>822</v>
      </c>
      <c r="F20" s="41" t="s">
        <v>823</v>
      </c>
      <c r="G20" s="468"/>
      <c r="H20" s="37"/>
      <c r="I20" s="468"/>
      <c r="J20" s="37"/>
      <c r="K20" s="385"/>
      <c r="V20" s="11">
        <v>34</v>
      </c>
    </row>
    <row r="21" spans="1:22" ht="48.2" customHeight="1">
      <c r="A21" s="11"/>
      <c r="C21" s="77"/>
      <c r="D21" s="43" t="s">
        <v>338</v>
      </c>
      <c r="E21" s="323" t="s">
        <v>824</v>
      </c>
      <c r="F21" s="41" t="s">
        <v>575</v>
      </c>
      <c r="G21" s="386"/>
      <c r="H21" s="37"/>
      <c r="I21" s="386"/>
      <c r="J21" s="37"/>
      <c r="K21" s="385"/>
      <c r="V21" s="11">
        <v>46</v>
      </c>
    </row>
    <row r="22" spans="1:22" ht="67.5" hidden="1" customHeight="1">
      <c r="A22" s="11"/>
      <c r="C22" s="77"/>
      <c r="D22" s="41">
        <v>5</v>
      </c>
      <c r="E22" s="153" t="s">
        <v>1164</v>
      </c>
      <c r="F22" s="41" t="s">
        <v>562</v>
      </c>
      <c r="G22" s="387"/>
      <c r="H22" s="388"/>
      <c r="I22" s="387"/>
      <c r="J22" s="388"/>
      <c r="K22" s="67" t="s">
        <v>1165</v>
      </c>
      <c r="V22" s="11">
        <v>0</v>
      </c>
    </row>
    <row r="23" spans="1:22" ht="33.75" hidden="1" customHeight="1">
      <c r="C23" s="77"/>
      <c r="D23" s="41">
        <v>6</v>
      </c>
      <c r="E23" s="153" t="s">
        <v>1166</v>
      </c>
      <c r="F23" s="41" t="s">
        <v>1167</v>
      </c>
      <c r="G23" s="387"/>
      <c r="H23" s="387"/>
      <c r="I23" s="387"/>
      <c r="J23" s="387"/>
      <c r="K23" s="67" t="s">
        <v>1168</v>
      </c>
      <c r="V23" s="11">
        <v>0</v>
      </c>
    </row>
    <row r="24" spans="1:22" ht="15.75" customHeight="1">
      <c r="V24" s="11">
        <v>15</v>
      </c>
    </row>
    <row r="25" spans="1:22" ht="15.75" customHeight="1">
      <c r="V25" s="11">
        <v>15</v>
      </c>
    </row>
    <row r="26" spans="1:22" ht="15.75" customHeight="1">
      <c r="V26" s="11">
        <v>15</v>
      </c>
    </row>
    <row r="27" spans="1:22" ht="15.75" customHeight="1">
      <c r="V27" s="11">
        <v>15</v>
      </c>
    </row>
    <row r="28" spans="1:22" ht="15.75" customHeight="1">
      <c r="V28" s="11">
        <v>15</v>
      </c>
    </row>
    <row r="29" spans="1:22" ht="15.75" customHeight="1">
      <c r="J29" s="469"/>
      <c r="V29" s="11">
        <v>15</v>
      </c>
    </row>
    <row r="30" spans="1:22" ht="22.5" hidden="1" customHeight="1">
      <c r="A30" s="8" t="s">
        <v>82</v>
      </c>
      <c r="B30" s="11">
        <v>0</v>
      </c>
      <c r="C30" s="87">
        <v>4</v>
      </c>
      <c r="D30" s="11">
        <v>6</v>
      </c>
      <c r="E30" s="11">
        <v>47</v>
      </c>
      <c r="F30" s="11">
        <v>9</v>
      </c>
      <c r="G30" s="11">
        <v>0</v>
      </c>
      <c r="H30" s="11">
        <v>0</v>
      </c>
      <c r="I30" s="11">
        <v>25</v>
      </c>
      <c r="J30" s="11">
        <v>33</v>
      </c>
      <c r="K30" s="63">
        <v>50</v>
      </c>
      <c r="L30" s="11">
        <v>10</v>
      </c>
      <c r="M30" s="11">
        <v>10</v>
      </c>
      <c r="N30" s="11">
        <v>10</v>
      </c>
      <c r="O30" s="11">
        <v>10</v>
      </c>
      <c r="P30" s="11">
        <v>10</v>
      </c>
      <c r="Q30" s="11">
        <v>10</v>
      </c>
      <c r="R30" s="11">
        <v>10</v>
      </c>
      <c r="S30" s="11">
        <v>10</v>
      </c>
      <c r="T30" s="11">
        <v>10</v>
      </c>
      <c r="U30" s="302">
        <v>10</v>
      </c>
      <c r="V30" s="1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028EB-B553-3DB8-58E6-53EB1A74ABDD}">
  <sheetPr>
    <tabColor rgb="FFFFCC99"/>
  </sheetPr>
  <dimension ref="A1:CD118"/>
  <sheetViews>
    <sheetView showGridLines="0" workbookViewId="0"/>
  </sheetViews>
  <sheetFormatPr defaultColWidth="9.140625" defaultRowHeight="11.25" customHeight="1"/>
  <cols>
    <col min="1" max="1" width="32.5703125" style="663"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7" width="12.5703125" style="627" customWidth="1"/>
    <col min="58" max="58" width="14.28515625" style="627" customWidth="1"/>
    <col min="59" max="59" width="30.7109375" style="34" customWidth="1"/>
    <col min="60" max="60" width="40.7109375" style="188" customWidth="1"/>
    <col min="61" max="61" width="15" style="188" customWidth="1"/>
    <col min="62" max="62" width="40.7109375" style="188" customWidth="1"/>
    <col min="63" max="63" width="2.7109375" style="188" customWidth="1"/>
    <col min="64" max="64" width="44.7109375" style="188" customWidth="1"/>
    <col min="65" max="65" width="2.7109375" style="188" customWidth="1"/>
    <col min="66" max="66" width="40.7109375" style="188"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8" t="s">
        <v>1169</v>
      </c>
      <c r="B1" s="628" t="s">
        <v>1170</v>
      </c>
      <c r="C1" s="628" t="s">
        <v>1171</v>
      </c>
      <c r="D1" s="628" t="s">
        <v>1172</v>
      </c>
      <c r="E1" s="628" t="s">
        <v>1173</v>
      </c>
      <c r="F1" s="628" t="s">
        <v>1174</v>
      </c>
      <c r="G1" s="628" t="s">
        <v>1175</v>
      </c>
      <c r="H1" s="628" t="s">
        <v>1176</v>
      </c>
      <c r="I1" s="628" t="s">
        <v>1177</v>
      </c>
      <c r="J1" s="628" t="s">
        <v>1178</v>
      </c>
      <c r="K1" s="628" t="s">
        <v>1179</v>
      </c>
      <c r="L1" s="628" t="s">
        <v>1180</v>
      </c>
      <c r="M1" s="628"/>
      <c r="N1" s="628" t="s">
        <v>1181</v>
      </c>
      <c r="O1" s="628" t="s">
        <v>1182</v>
      </c>
      <c r="P1" s="628" t="s">
        <v>1183</v>
      </c>
      <c r="Q1" s="628" t="s">
        <v>1184</v>
      </c>
      <c r="R1" s="628" t="s">
        <v>1185</v>
      </c>
      <c r="S1" s="628" t="s">
        <v>1186</v>
      </c>
      <c r="T1" s="628" t="s">
        <v>1187</v>
      </c>
      <c r="U1" s="628" t="s">
        <v>1188</v>
      </c>
      <c r="V1" s="628"/>
      <c r="W1" s="459" t="s">
        <v>1189</v>
      </c>
      <c r="X1" s="628" t="s">
        <v>1190</v>
      </c>
      <c r="Y1" s="628" t="s">
        <v>1191</v>
      </c>
      <c r="Z1" s="628"/>
      <c r="AA1" s="628" t="s">
        <v>1192</v>
      </c>
      <c r="AB1" s="628"/>
      <c r="AC1" s="628" t="s">
        <v>1193</v>
      </c>
      <c r="AD1" s="628"/>
      <c r="AF1" s="628" t="s">
        <v>1194</v>
      </c>
      <c r="AH1" s="628" t="s">
        <v>1195</v>
      </c>
      <c r="AI1" s="628" t="s">
        <v>1196</v>
      </c>
      <c r="AK1" s="628" t="s">
        <v>1197</v>
      </c>
      <c r="AM1" s="628" t="s">
        <v>1198</v>
      </c>
      <c r="AP1" s="628" t="s">
        <v>1199</v>
      </c>
      <c r="AQ1" s="628" t="s">
        <v>1200</v>
      </c>
      <c r="AS1" s="628" t="s">
        <v>1201</v>
      </c>
      <c r="AU1" s="628" t="s">
        <v>1202</v>
      </c>
      <c r="AW1" s="628" t="s">
        <v>1203</v>
      </c>
      <c r="AX1" s="628" t="s">
        <v>1204</v>
      </c>
      <c r="AZ1" s="669" t="s">
        <v>1205</v>
      </c>
      <c r="BB1" s="628" t="s">
        <v>1206</v>
      </c>
      <c r="BC1" s="628"/>
      <c r="BE1" s="628" t="s">
        <v>1207</v>
      </c>
      <c r="BF1" s="628" t="s">
        <v>1208</v>
      </c>
      <c r="BH1" s="630" t="s">
        <v>811</v>
      </c>
      <c r="BI1" s="188"/>
      <c r="BJ1" s="631" t="s">
        <v>1209</v>
      </c>
      <c r="BK1" s="188"/>
      <c r="BL1" s="632" t="s">
        <v>910</v>
      </c>
      <c r="BM1" s="188"/>
      <c r="BN1" s="633" t="s">
        <v>1210</v>
      </c>
    </row>
    <row r="2" spans="1:79" ht="11.25" customHeight="1">
      <c r="A2" s="34" t="s">
        <v>1211</v>
      </c>
      <c r="B2" s="634">
        <v>2000</v>
      </c>
      <c r="C2" s="634">
        <v>2022</v>
      </c>
      <c r="D2" s="634" t="s">
        <v>66</v>
      </c>
      <c r="E2" s="635" t="s">
        <v>1212</v>
      </c>
      <c r="F2" s="635" t="s">
        <v>1213</v>
      </c>
      <c r="G2" s="635" t="s">
        <v>1214</v>
      </c>
      <c r="H2" s="635" t="s">
        <v>1215</v>
      </c>
      <c r="I2" s="635" t="s">
        <v>115</v>
      </c>
      <c r="J2" s="635" t="s">
        <v>1216</v>
      </c>
      <c r="K2" s="175" t="s">
        <v>1217</v>
      </c>
      <c r="L2" s="175"/>
      <c r="M2" s="175">
        <v>1</v>
      </c>
      <c r="N2" s="671" t="s">
        <v>1218</v>
      </c>
      <c r="O2" s="635" t="s">
        <v>1219</v>
      </c>
      <c r="P2" s="636" t="s">
        <v>38</v>
      </c>
      <c r="Q2" s="637" t="s">
        <v>1220</v>
      </c>
      <c r="R2" s="60" t="s">
        <v>1221</v>
      </c>
      <c r="S2" s="60" t="s">
        <v>1222</v>
      </c>
      <c r="T2" s="638" t="s">
        <v>1223</v>
      </c>
      <c r="U2" s="175" t="s">
        <v>1224</v>
      </c>
      <c r="V2" s="639">
        <v>1</v>
      </c>
      <c r="W2" s="640"/>
      <c r="X2" s="640" t="s">
        <v>1225</v>
      </c>
      <c r="Y2" s="634" t="s">
        <v>1226</v>
      </c>
      <c r="Z2" s="641"/>
      <c r="AA2" s="634" t="s">
        <v>1227</v>
      </c>
      <c r="AB2" s="642" t="s">
        <v>1227</v>
      </c>
      <c r="AC2" s="634" t="s">
        <v>1228</v>
      </c>
      <c r="AD2" s="642" t="s">
        <v>1228</v>
      </c>
      <c r="AF2" s="635" t="s">
        <v>1224</v>
      </c>
      <c r="AH2" s="635" t="s">
        <v>1229</v>
      </c>
      <c r="AI2" s="635" t="s">
        <v>1229</v>
      </c>
      <c r="AK2" s="635" t="s">
        <v>1230</v>
      </c>
      <c r="AM2" s="635" t="s">
        <v>1231</v>
      </c>
      <c r="AP2" s="32" t="s">
        <v>1225</v>
      </c>
      <c r="AQ2" s="643" t="s">
        <v>1225</v>
      </c>
      <c r="AS2" s="634" t="s">
        <v>1232</v>
      </c>
      <c r="AU2" s="664" t="s">
        <v>1233</v>
      </c>
      <c r="AW2" s="664" t="s">
        <v>1234</v>
      </c>
      <c r="AX2" s="664" t="s">
        <v>1234</v>
      </c>
      <c r="AZ2" s="664" t="s">
        <v>53</v>
      </c>
      <c r="BB2" s="664" t="s">
        <v>1235</v>
      </c>
      <c r="BC2" s="664" t="s">
        <v>1236</v>
      </c>
      <c r="BE2" s="664">
        <v>2000</v>
      </c>
      <c r="BF2" s="664" t="s">
        <v>1237</v>
      </c>
    </row>
    <row r="3" spans="1:79" ht="11.25" customHeight="1">
      <c r="A3" s="34" t="s">
        <v>1238</v>
      </c>
      <c r="B3" s="634">
        <v>2001</v>
      </c>
      <c r="C3" s="634">
        <v>2023</v>
      </c>
      <c r="D3" s="634" t="s">
        <v>19</v>
      </c>
      <c r="E3" s="635" t="s">
        <v>1239</v>
      </c>
      <c r="F3" s="635" t="s">
        <v>1240</v>
      </c>
      <c r="G3" s="635" t="s">
        <v>1241</v>
      </c>
      <c r="H3" s="635" t="s">
        <v>55</v>
      </c>
      <c r="I3" s="635" t="s">
        <v>103</v>
      </c>
      <c r="J3" s="635" t="s">
        <v>560</v>
      </c>
      <c r="K3" s="175" t="s">
        <v>1242</v>
      </c>
      <c r="L3" s="175">
        <f>IFERROR(MATCH(K3,OFFER_METHOD,0),0)</f>
        <v>0</v>
      </c>
      <c r="M3" s="175">
        <v>2</v>
      </c>
      <c r="N3" s="671" t="s">
        <v>1243</v>
      </c>
      <c r="O3" s="635" t="s">
        <v>1244</v>
      </c>
      <c r="P3" s="636" t="s">
        <v>1245</v>
      </c>
      <c r="Q3" s="637" t="s">
        <v>1246</v>
      </c>
      <c r="R3" s="60" t="s">
        <v>1247</v>
      </c>
      <c r="S3" s="60" t="s">
        <v>1248</v>
      </c>
      <c r="T3" s="638" t="s">
        <v>1249</v>
      </c>
      <c r="U3" s="175" t="s">
        <v>1250</v>
      </c>
      <c r="V3" s="639">
        <v>2</v>
      </c>
      <c r="W3" s="640"/>
      <c r="X3" s="640" t="s">
        <v>1251</v>
      </c>
      <c r="Y3" s="634" t="s">
        <v>1226</v>
      </c>
      <c r="Z3" s="641"/>
      <c r="AA3" s="634" t="s">
        <v>1252</v>
      </c>
      <c r="AB3" s="642" t="s">
        <v>1252</v>
      </c>
      <c r="AC3" s="634" t="s">
        <v>1253</v>
      </c>
      <c r="AD3" s="642" t="s">
        <v>1253</v>
      </c>
      <c r="AF3" s="635" t="s">
        <v>1250</v>
      </c>
      <c r="AH3" s="635" t="s">
        <v>1254</v>
      </c>
      <c r="AI3" s="635" t="s">
        <v>1255</v>
      </c>
      <c r="AK3" s="635" t="s">
        <v>1256</v>
      </c>
      <c r="AM3" s="635" t="s">
        <v>1257</v>
      </c>
      <c r="AP3" s="32" t="s">
        <v>1258</v>
      </c>
      <c r="AQ3" s="643" t="s">
        <v>1258</v>
      </c>
      <c r="AS3" s="634" t="s">
        <v>1259</v>
      </c>
      <c r="AU3" s="664" t="s">
        <v>1260</v>
      </c>
      <c r="AW3" s="664" t="s">
        <v>1261</v>
      </c>
      <c r="AX3" s="664" t="s">
        <v>1261</v>
      </c>
      <c r="AZ3" s="664" t="s">
        <v>1262</v>
      </c>
      <c r="BB3" s="664" t="s">
        <v>1263</v>
      </c>
      <c r="BC3" s="664" t="s">
        <v>1236</v>
      </c>
      <c r="BE3" s="664">
        <v>2001</v>
      </c>
      <c r="BF3" s="664" t="s">
        <v>1264</v>
      </c>
      <c r="BH3" s="628" t="s">
        <v>1265</v>
      </c>
      <c r="BJ3" s="628" t="s">
        <v>1266</v>
      </c>
      <c r="BL3" s="628" t="s">
        <v>1267</v>
      </c>
      <c r="BN3" s="628" t="s">
        <v>1268</v>
      </c>
      <c r="BR3" s="628" t="s">
        <v>1269</v>
      </c>
      <c r="BS3" s="805"/>
      <c r="BT3" s="188"/>
      <c r="BU3" s="628" t="s">
        <v>1270</v>
      </c>
      <c r="BV3" s="188"/>
      <c r="BW3"/>
      <c r="BX3" s="628" t="s">
        <v>1271</v>
      </c>
      <c r="CA3" s="628" t="s">
        <v>1272</v>
      </c>
    </row>
    <row r="4" spans="1:79" ht="11.25" customHeight="1">
      <c r="A4" s="34" t="s">
        <v>1273</v>
      </c>
      <c r="B4" s="634">
        <v>2002</v>
      </c>
      <c r="C4" s="634">
        <v>2024</v>
      </c>
      <c r="E4" s="635" t="s">
        <v>1274</v>
      </c>
      <c r="F4" s="635" t="s">
        <v>1275</v>
      </c>
      <c r="H4" s="635" t="s">
        <v>1276</v>
      </c>
      <c r="I4" s="635" t="s">
        <v>90</v>
      </c>
      <c r="J4" s="635" t="s">
        <v>1277</v>
      </c>
      <c r="K4" s="175" t="s">
        <v>1278</v>
      </c>
      <c r="L4" s="175">
        <f>IFERROR(MATCH(K4,OFFER_METHOD,0),0)</f>
        <v>0</v>
      </c>
      <c r="M4" s="175">
        <v>3</v>
      </c>
      <c r="N4" s="671" t="s">
        <v>1279</v>
      </c>
      <c r="O4" s="635" t="s">
        <v>1280</v>
      </c>
      <c r="Q4" s="637" t="s">
        <v>1281</v>
      </c>
      <c r="R4" s="60" t="s">
        <v>1282</v>
      </c>
      <c r="S4" s="60" t="s">
        <v>1283</v>
      </c>
      <c r="T4" s="638" t="s">
        <v>1284</v>
      </c>
      <c r="U4" s="175" t="s">
        <v>1285</v>
      </c>
      <c r="V4" s="639">
        <v>3</v>
      </c>
      <c r="W4" s="640"/>
      <c r="X4" s="640" t="s">
        <v>1286</v>
      </c>
      <c r="Y4" s="634" t="s">
        <v>1226</v>
      </c>
      <c r="Z4" s="17"/>
      <c r="AC4" s="634" t="s">
        <v>1287</v>
      </c>
      <c r="AD4" s="642" t="s">
        <v>1287</v>
      </c>
      <c r="AF4" s="635" t="s">
        <v>1285</v>
      </c>
      <c r="AH4" s="635" t="s">
        <v>1288</v>
      </c>
      <c r="AK4" s="635" t="s">
        <v>1289</v>
      </c>
      <c r="AM4" s="635" t="s">
        <v>1290</v>
      </c>
      <c r="AP4" s="32" t="s">
        <v>1251</v>
      </c>
      <c r="AQ4" s="643" t="s">
        <v>1251</v>
      </c>
      <c r="AS4" s="634" t="s">
        <v>1291</v>
      </c>
      <c r="AU4" s="664" t="s">
        <v>1292</v>
      </c>
      <c r="AW4" s="664" t="s">
        <v>1293</v>
      </c>
      <c r="AX4" s="664" t="s">
        <v>1293</v>
      </c>
      <c r="AZ4" s="664" t="s">
        <v>1294</v>
      </c>
      <c r="BB4" s="664" t="s">
        <v>1295</v>
      </c>
      <c r="BC4" s="664" t="s">
        <v>1296</v>
      </c>
      <c r="BE4" s="664">
        <v>2002</v>
      </c>
      <c r="BF4" s="664" t="s">
        <v>1297</v>
      </c>
      <c r="BH4" s="629" t="s">
        <v>1298</v>
      </c>
      <c r="BJ4" s="629" t="s">
        <v>1298</v>
      </c>
      <c r="BL4" s="629" t="s">
        <v>1298</v>
      </c>
      <c r="BN4" s="629" t="s">
        <v>1298</v>
      </c>
      <c r="BQ4" s="807" t="s">
        <v>1299</v>
      </c>
      <c r="BR4" s="32" t="s">
        <v>1300</v>
      </c>
      <c r="BS4" s="32"/>
      <c r="BT4" s="807" t="s">
        <v>1301</v>
      </c>
      <c r="BU4" s="32" t="s">
        <v>1302</v>
      </c>
      <c r="BV4" s="188"/>
      <c r="BW4" s="807" t="s">
        <v>1303</v>
      </c>
      <c r="BX4" s="32" t="s">
        <v>1304</v>
      </c>
      <c r="BZ4" s="807" t="s">
        <v>1305</v>
      </c>
      <c r="CA4" s="32" t="s">
        <v>1306</v>
      </c>
    </row>
    <row r="5" spans="1:79" ht="11.25" customHeight="1">
      <c r="A5" s="34" t="s">
        <v>1307</v>
      </c>
      <c r="B5" s="634">
        <v>2003</v>
      </c>
      <c r="C5" s="634">
        <v>2025</v>
      </c>
      <c r="E5" s="635" t="s">
        <v>1308</v>
      </c>
      <c r="F5" s="635" t="s">
        <v>35</v>
      </c>
      <c r="H5" s="635" t="s">
        <v>1309</v>
      </c>
      <c r="I5" s="635" t="s">
        <v>91</v>
      </c>
      <c r="K5" s="175" t="s">
        <v>1310</v>
      </c>
      <c r="L5" s="175">
        <f>IFERROR(MATCH(K5,OFFER_METHOD,0),0)</f>
        <v>0</v>
      </c>
      <c r="M5" s="175">
        <v>4</v>
      </c>
      <c r="N5" s="645" t="s">
        <v>1311</v>
      </c>
      <c r="O5" s="635" t="s">
        <v>1312</v>
      </c>
      <c r="Q5" s="637" t="s">
        <v>1313</v>
      </c>
      <c r="R5" s="60" t="s">
        <v>1314</v>
      </c>
      <c r="T5" s="635" t="s">
        <v>1315</v>
      </c>
      <c r="U5" s="175" t="s">
        <v>1316</v>
      </c>
      <c r="V5" s="639">
        <v>4</v>
      </c>
      <c r="W5" s="640"/>
      <c r="X5" s="640" t="s">
        <v>172</v>
      </c>
      <c r="Y5" s="634" t="s">
        <v>1317</v>
      </c>
      <c r="Z5" s="17">
        <v>1</v>
      </c>
      <c r="AF5" s="635" t="s">
        <v>1318</v>
      </c>
      <c r="AH5" s="635" t="s">
        <v>1319</v>
      </c>
      <c r="AK5" s="635" t="s">
        <v>1320</v>
      </c>
      <c r="AM5" s="635" t="s">
        <v>1321</v>
      </c>
      <c r="AP5" s="32" t="s">
        <v>172</v>
      </c>
      <c r="AQ5" s="643" t="s">
        <v>172</v>
      </c>
      <c r="AU5" s="664" t="s">
        <v>1322</v>
      </c>
      <c r="AW5" s="664" t="s">
        <v>1323</v>
      </c>
      <c r="AX5" s="664" t="s">
        <v>1323</v>
      </c>
      <c r="AZ5" s="664" t="s">
        <v>1324</v>
      </c>
      <c r="BB5" s="664" t="s">
        <v>1325</v>
      </c>
      <c r="BC5" s="664" t="s">
        <v>1326</v>
      </c>
      <c r="BE5" s="664">
        <v>2003</v>
      </c>
      <c r="BF5" s="664" t="s">
        <v>1327</v>
      </c>
      <c r="BH5" s="629" t="s">
        <v>1328</v>
      </c>
      <c r="BJ5" s="629" t="s">
        <v>1328</v>
      </c>
      <c r="BL5" s="629" t="s">
        <v>1328</v>
      </c>
      <c r="BN5" s="629" t="s">
        <v>1329</v>
      </c>
      <c r="BQ5" s="664">
        <v>4213775</v>
      </c>
      <c r="BR5" s="629" t="s">
        <v>1225</v>
      </c>
      <c r="BS5" s="740"/>
      <c r="BT5" s="664">
        <v>64236871</v>
      </c>
      <c r="BU5" s="629" t="s">
        <v>233</v>
      </c>
      <c r="BV5" s="188"/>
      <c r="BW5" s="664">
        <v>4213767</v>
      </c>
      <c r="BX5" s="629" t="s">
        <v>1330</v>
      </c>
      <c r="BZ5" s="664">
        <v>64237509</v>
      </c>
      <c r="CA5" s="745" t="s">
        <v>1331</v>
      </c>
    </row>
    <row r="6" spans="1:79" ht="11.25" customHeight="1">
      <c r="A6" s="34" t="s">
        <v>1332</v>
      </c>
      <c r="B6" s="634">
        <v>2004</v>
      </c>
      <c r="C6" s="634">
        <v>2026</v>
      </c>
      <c r="E6" s="635" t="s">
        <v>1333</v>
      </c>
      <c r="F6" s="35"/>
      <c r="H6" s="635" t="s">
        <v>1334</v>
      </c>
      <c r="I6" s="635" t="s">
        <v>116</v>
      </c>
      <c r="J6" s="628" t="s">
        <v>1335</v>
      </c>
      <c r="L6" s="175">
        <f>SUM(kind_of_control_method_filter)</f>
        <v>0</v>
      </c>
      <c r="N6" s="645" t="s">
        <v>1336</v>
      </c>
      <c r="O6" s="635" t="s">
        <v>1337</v>
      </c>
      <c r="R6" s="60" t="s">
        <v>1220</v>
      </c>
      <c r="T6" s="635" t="s">
        <v>1338</v>
      </c>
      <c r="U6" s="175" t="s">
        <v>1318</v>
      </c>
      <c r="V6" s="639">
        <v>5</v>
      </c>
      <c r="W6" s="640"/>
      <c r="X6" s="634" t="s">
        <v>178</v>
      </c>
      <c r="Y6" s="634" t="s">
        <v>1339</v>
      </c>
      <c r="Z6" s="17"/>
      <c r="AA6" s="197"/>
      <c r="AH6" s="635" t="s">
        <v>1340</v>
      </c>
      <c r="AK6" s="635" t="s">
        <v>1341</v>
      </c>
      <c r="AM6" s="635" t="s">
        <v>1342</v>
      </c>
      <c r="AP6" s="32" t="s">
        <v>178</v>
      </c>
      <c r="AQ6" s="643" t="s">
        <v>178</v>
      </c>
      <c r="AU6" s="664" t="s">
        <v>1343</v>
      </c>
      <c r="AW6" s="664" t="s">
        <v>1344</v>
      </c>
      <c r="AX6" s="664" t="s">
        <v>1344</v>
      </c>
      <c r="BB6" s="664" t="s">
        <v>1345</v>
      </c>
      <c r="BC6" s="664" t="s">
        <v>1326</v>
      </c>
      <c r="BE6" s="664">
        <v>2004</v>
      </c>
      <c r="BF6" s="664" t="s">
        <v>1346</v>
      </c>
      <c r="BH6" s="629" t="s">
        <v>1347</v>
      </c>
      <c r="BJ6" s="629" t="s">
        <v>1348</v>
      </c>
      <c r="BL6" s="629" t="s">
        <v>1348</v>
      </c>
      <c r="BN6" s="629" t="s">
        <v>1349</v>
      </c>
      <c r="BQ6" s="664">
        <v>4213784</v>
      </c>
      <c r="BR6" s="745" t="s">
        <v>1258</v>
      </c>
      <c r="BS6" s="806"/>
      <c r="BT6" s="664">
        <v>64236872</v>
      </c>
      <c r="BU6" s="629" t="s">
        <v>238</v>
      </c>
      <c r="BV6" s="188"/>
      <c r="BW6" s="664">
        <v>4213768</v>
      </c>
      <c r="BX6" s="629" t="s">
        <v>258</v>
      </c>
      <c r="BZ6" s="664">
        <v>64237510</v>
      </c>
      <c r="CA6" s="629" t="s">
        <v>1350</v>
      </c>
    </row>
    <row r="7" spans="1:79" ht="11.25" customHeight="1">
      <c r="A7" s="34" t="s">
        <v>1351</v>
      </c>
      <c r="B7" s="634">
        <v>2005</v>
      </c>
      <c r="E7" s="635" t="s">
        <v>1352</v>
      </c>
      <c r="F7" s="35"/>
      <c r="H7" s="635" t="s">
        <v>1353</v>
      </c>
      <c r="I7" s="635" t="s">
        <v>92</v>
      </c>
      <c r="J7" s="635" t="s">
        <v>1354</v>
      </c>
      <c r="N7" s="438" t="s">
        <v>1355</v>
      </c>
      <c r="O7" s="635" t="s">
        <v>1356</v>
      </c>
      <c r="U7" s="175" t="s">
        <v>19</v>
      </c>
      <c r="V7" s="214" t="s">
        <v>92</v>
      </c>
      <c r="W7" s="640"/>
      <c r="X7" s="634" t="s">
        <v>184</v>
      </c>
      <c r="Y7" s="634" t="s">
        <v>1317</v>
      </c>
      <c r="Z7" s="17"/>
      <c r="AA7" s="197"/>
      <c r="AH7" s="635" t="s">
        <v>1357</v>
      </c>
      <c r="AK7" s="635" t="s">
        <v>1358</v>
      </c>
      <c r="AM7" s="635" t="s">
        <v>1359</v>
      </c>
      <c r="AP7" s="32" t="s">
        <v>184</v>
      </c>
      <c r="AQ7" s="643" t="s">
        <v>184</v>
      </c>
      <c r="AU7" s="664" t="s">
        <v>1360</v>
      </c>
      <c r="AW7" s="664" t="s">
        <v>1361</v>
      </c>
      <c r="AX7" s="664" t="s">
        <v>1361</v>
      </c>
      <c r="AZ7" s="628" t="s">
        <v>1362</v>
      </c>
      <c r="BB7" s="664" t="s">
        <v>1363</v>
      </c>
      <c r="BC7" s="664" t="s">
        <v>1326</v>
      </c>
      <c r="BE7" s="664">
        <v>2005</v>
      </c>
      <c r="BF7" s="664" t="s">
        <v>1364</v>
      </c>
      <c r="BH7" s="629" t="s">
        <v>1365</v>
      </c>
      <c r="BJ7" s="629" t="s">
        <v>1347</v>
      </c>
      <c r="BL7" s="629" t="s">
        <v>1347</v>
      </c>
      <c r="BN7" s="629" t="s">
        <v>1366</v>
      </c>
      <c r="BQ7" s="664">
        <v>4213781</v>
      </c>
      <c r="BR7" s="629" t="s">
        <v>1251</v>
      </c>
      <c r="BS7" s="740"/>
      <c r="BT7" s="664">
        <v>64236873</v>
      </c>
      <c r="BU7" s="629" t="s">
        <v>243</v>
      </c>
      <c r="BV7" s="188"/>
      <c r="BW7" s="664">
        <v>4213769</v>
      </c>
      <c r="BX7" s="629" t="s">
        <v>1367</v>
      </c>
      <c r="BZ7" s="664">
        <v>64237511</v>
      </c>
      <c r="CA7" s="629" t="s">
        <v>273</v>
      </c>
    </row>
    <row r="8" spans="1:79" ht="11.25" customHeight="1">
      <c r="A8" s="34" t="s">
        <v>1368</v>
      </c>
      <c r="B8" s="634">
        <v>2006</v>
      </c>
      <c r="E8" s="635" t="s">
        <v>1369</v>
      </c>
      <c r="F8" s="35"/>
      <c r="H8" s="635" t="s">
        <v>1370</v>
      </c>
      <c r="I8" s="635" t="s">
        <v>93</v>
      </c>
      <c r="J8" s="635" t="s">
        <v>1371</v>
      </c>
      <c r="N8" s="672" t="s">
        <v>1372</v>
      </c>
      <c r="O8" s="635" t="s">
        <v>1373</v>
      </c>
      <c r="V8" s="214" t="s">
        <v>93</v>
      </c>
      <c r="W8" s="640"/>
      <c r="X8" s="634" t="s">
        <v>190</v>
      </c>
      <c r="Y8" s="634" t="s">
        <v>1317</v>
      </c>
      <c r="Z8" s="17"/>
      <c r="AA8" s="197"/>
      <c r="AK8" s="635" t="s">
        <v>1374</v>
      </c>
      <c r="AP8" s="32" t="s">
        <v>190</v>
      </c>
      <c r="AQ8" s="643" t="s">
        <v>190</v>
      </c>
      <c r="AU8" s="664" t="s">
        <v>1375</v>
      </c>
      <c r="AW8" s="664" t="s">
        <v>1376</v>
      </c>
      <c r="AX8" s="664" t="s">
        <v>1376</v>
      </c>
      <c r="AZ8" s="664" t="s">
        <v>1377</v>
      </c>
      <c r="BB8" s="664" t="s">
        <v>1378</v>
      </c>
      <c r="BC8" s="664" t="s">
        <v>1326</v>
      </c>
      <c r="BE8" s="664">
        <v>2006</v>
      </c>
      <c r="BF8" s="664" t="s">
        <v>1379</v>
      </c>
      <c r="BH8" s="629" t="s">
        <v>1380</v>
      </c>
      <c r="BJ8" s="629" t="s">
        <v>1381</v>
      </c>
      <c r="BL8" s="629" t="s">
        <v>1381</v>
      </c>
      <c r="BN8" s="629" t="s">
        <v>1382</v>
      </c>
      <c r="BQ8" s="664">
        <v>4213776</v>
      </c>
      <c r="BR8" s="629" t="s">
        <v>172</v>
      </c>
      <c r="BS8" s="740"/>
      <c r="BT8" s="664">
        <v>64236874</v>
      </c>
      <c r="BU8" s="745" t="s">
        <v>1383</v>
      </c>
      <c r="BV8" s="188"/>
      <c r="BW8" s="664">
        <v>4213770</v>
      </c>
      <c r="BX8" s="745" t="s">
        <v>1384</v>
      </c>
      <c r="BZ8" s="664">
        <v>64237512</v>
      </c>
      <c r="CA8" s="629" t="s">
        <v>268</v>
      </c>
    </row>
    <row r="9" spans="1:79" ht="11.25" customHeight="1">
      <c r="A9" s="34" t="s">
        <v>1385</v>
      </c>
      <c r="B9" s="634">
        <v>2007</v>
      </c>
      <c r="E9" s="635" t="s">
        <v>1386</v>
      </c>
      <c r="F9" s="35"/>
      <c r="G9" s="628" t="s">
        <v>1387</v>
      </c>
      <c r="H9" s="628" t="s">
        <v>1388</v>
      </c>
      <c r="I9" s="635" t="s">
        <v>117</v>
      </c>
      <c r="O9" s="635" t="s">
        <v>1389</v>
      </c>
      <c r="V9" s="214" t="s">
        <v>117</v>
      </c>
      <c r="W9" s="640"/>
      <c r="X9" s="634" t="s">
        <v>196</v>
      </c>
      <c r="Y9" s="634" t="s">
        <v>1226</v>
      </c>
      <c r="Z9" s="17">
        <v>1</v>
      </c>
      <c r="AA9" s="197"/>
      <c r="AK9" s="635" t="s">
        <v>1390</v>
      </c>
      <c r="AP9" s="32" t="s">
        <v>1391</v>
      </c>
      <c r="AQ9" s="643" t="s">
        <v>1391</v>
      </c>
      <c r="AW9" s="664" t="s">
        <v>1392</v>
      </c>
      <c r="AX9" s="664" t="s">
        <v>1392</v>
      </c>
      <c r="AZ9" s="664" t="s">
        <v>1393</v>
      </c>
      <c r="BB9" s="664" t="s">
        <v>1394</v>
      </c>
      <c r="BC9" s="664" t="s">
        <v>1326</v>
      </c>
      <c r="BE9" s="664">
        <v>2007</v>
      </c>
      <c r="BF9" s="664" t="s">
        <v>1395</v>
      </c>
      <c r="BH9" s="629" t="s">
        <v>1396</v>
      </c>
      <c r="BJ9" s="629" t="s">
        <v>1397</v>
      </c>
      <c r="BL9" s="629" t="s">
        <v>1397</v>
      </c>
      <c r="BN9" s="629" t="s">
        <v>1398</v>
      </c>
      <c r="BQ9" s="664">
        <v>4213777</v>
      </c>
      <c r="BR9" s="629" t="s">
        <v>178</v>
      </c>
      <c r="BS9" s="740"/>
      <c r="BT9" s="664">
        <v>64236875</v>
      </c>
      <c r="BU9" s="629" t="s">
        <v>248</v>
      </c>
      <c r="BV9" s="188"/>
      <c r="BW9"/>
      <c r="BX9"/>
    </row>
    <row r="10" spans="1:79" ht="11.25" customHeight="1">
      <c r="A10" s="34" t="s">
        <v>1399</v>
      </c>
      <c r="B10" s="634">
        <v>2008</v>
      </c>
      <c r="E10" s="635" t="s">
        <v>1400</v>
      </c>
      <c r="F10" s="35"/>
      <c r="G10" s="635" t="s">
        <v>1401</v>
      </c>
      <c r="H10" s="635" t="s">
        <v>1402</v>
      </c>
      <c r="I10" s="635" t="s">
        <v>154</v>
      </c>
      <c r="J10" s="628" t="s">
        <v>1403</v>
      </c>
      <c r="K10" s="628" t="s">
        <v>1404</v>
      </c>
      <c r="O10" s="635" t="s">
        <v>1405</v>
      </c>
      <c r="V10" s="215" t="s">
        <v>154</v>
      </c>
      <c r="W10" s="646"/>
      <c r="X10" s="646" t="s">
        <v>1406</v>
      </c>
      <c r="Y10" s="647" t="s">
        <v>1407</v>
      </c>
      <c r="Z10" s="17"/>
      <c r="AP10" s="32" t="s">
        <v>1406</v>
      </c>
      <c r="AQ10" s="643" t="s">
        <v>1406</v>
      </c>
      <c r="AW10" s="664" t="s">
        <v>1408</v>
      </c>
      <c r="AX10" s="664" t="s">
        <v>1408</v>
      </c>
      <c r="AZ10" s="664" t="s">
        <v>1409</v>
      </c>
      <c r="BB10" s="664" t="s">
        <v>1410</v>
      </c>
      <c r="BC10" s="664" t="s">
        <v>1326</v>
      </c>
      <c r="BE10" s="664">
        <v>2008</v>
      </c>
      <c r="BF10" s="664" t="s">
        <v>1411</v>
      </c>
      <c r="BH10" s="629" t="s">
        <v>1412</v>
      </c>
      <c r="BJ10" s="629" t="s">
        <v>1413</v>
      </c>
      <c r="BL10" s="629" t="s">
        <v>1413</v>
      </c>
      <c r="BN10" s="629" t="s">
        <v>1414</v>
      </c>
      <c r="BQ10" s="664">
        <v>4213778</v>
      </c>
      <c r="BR10" s="629" t="s">
        <v>184</v>
      </c>
      <c r="BS10" s="740"/>
      <c r="BT10" s="664">
        <v>64236876</v>
      </c>
      <c r="BU10" s="629" t="s">
        <v>228</v>
      </c>
      <c r="BV10" s="188"/>
      <c r="BW10"/>
      <c r="BX10"/>
    </row>
    <row r="11" spans="1:79" ht="11.25" customHeight="1">
      <c r="A11" s="34" t="s">
        <v>1415</v>
      </c>
      <c r="B11" s="634">
        <v>2009</v>
      </c>
      <c r="E11" s="635" t="s">
        <v>1416</v>
      </c>
      <c r="F11" s="35"/>
      <c r="G11" s="635" t="s">
        <v>1417</v>
      </c>
      <c r="H11" s="635" t="s">
        <v>1418</v>
      </c>
      <c r="I11" s="635" t="s">
        <v>155</v>
      </c>
      <c r="J11" s="635" t="s">
        <v>1419</v>
      </c>
      <c r="K11" s="648" t="s">
        <v>1420</v>
      </c>
      <c r="O11" s="635" t="s">
        <v>1421</v>
      </c>
      <c r="V11" s="214" t="s">
        <v>155</v>
      </c>
      <c r="W11" s="161"/>
      <c r="X11" s="640" t="s">
        <v>1391</v>
      </c>
      <c r="Y11" s="634" t="s">
        <v>1422</v>
      </c>
      <c r="Z11" s="17"/>
      <c r="AP11" s="32" t="s">
        <v>196</v>
      </c>
      <c r="AQ11" s="644" t="s">
        <v>196</v>
      </c>
      <c r="AW11" s="664" t="s">
        <v>1423</v>
      </c>
      <c r="AX11" s="664" t="s">
        <v>1423</v>
      </c>
      <c r="AZ11" s="664" t="s">
        <v>1424</v>
      </c>
      <c r="BB11" s="664" t="s">
        <v>1425</v>
      </c>
      <c r="BC11" s="664" t="s">
        <v>1326</v>
      </c>
      <c r="BE11" s="664">
        <v>2009</v>
      </c>
      <c r="BF11" s="664" t="s">
        <v>1426</v>
      </c>
      <c r="BH11" s="629" t="s">
        <v>1427</v>
      </c>
      <c r="BJ11" s="629" t="s">
        <v>1396</v>
      </c>
      <c r="BL11" s="629" t="s">
        <v>1396</v>
      </c>
      <c r="BN11" s="629" t="s">
        <v>1428</v>
      </c>
      <c r="BQ11" s="664">
        <v>4213780</v>
      </c>
      <c r="BR11" s="629" t="s">
        <v>190</v>
      </c>
      <c r="BS11" s="740"/>
      <c r="BW11"/>
      <c r="BX11"/>
    </row>
    <row r="12" spans="1:79" ht="11.25" customHeight="1">
      <c r="A12" s="34" t="s">
        <v>1429</v>
      </c>
      <c r="B12" s="634">
        <v>2010</v>
      </c>
      <c r="E12" s="635" t="s">
        <v>1430</v>
      </c>
      <c r="F12" s="35"/>
      <c r="G12" s="635" t="s">
        <v>1418</v>
      </c>
      <c r="I12" s="635" t="s">
        <v>156</v>
      </c>
      <c r="J12" s="635" t="s">
        <v>1431</v>
      </c>
      <c r="K12" s="648" t="s">
        <v>1432</v>
      </c>
      <c r="O12" s="635" t="s">
        <v>1220</v>
      </c>
      <c r="V12" s="214" t="s">
        <v>156</v>
      </c>
      <c r="W12" s="644"/>
      <c r="X12" s="640" t="s">
        <v>1433</v>
      </c>
      <c r="Y12" s="634" t="s">
        <v>1226</v>
      </c>
      <c r="AP12" s="32"/>
      <c r="AW12" s="664" t="s">
        <v>155</v>
      </c>
      <c r="AX12" s="664" t="s">
        <v>155</v>
      </c>
      <c r="AZ12" s="664" t="s">
        <v>1434</v>
      </c>
      <c r="BB12" s="664" t="s">
        <v>1435</v>
      </c>
      <c r="BC12" s="664" t="s">
        <v>1326</v>
      </c>
      <c r="BE12" s="664">
        <v>2010</v>
      </c>
      <c r="BF12" s="664" t="s">
        <v>1436</v>
      </c>
      <c r="BH12" s="629" t="s">
        <v>1437</v>
      </c>
      <c r="BJ12" s="629" t="s">
        <v>1438</v>
      </c>
      <c r="BL12" s="629" t="s">
        <v>1438</v>
      </c>
      <c r="BN12" s="629" t="s">
        <v>1439</v>
      </c>
      <c r="BQ12" s="664">
        <v>4213779</v>
      </c>
      <c r="BR12" s="629" t="s">
        <v>1391</v>
      </c>
      <c r="BS12" s="740"/>
      <c r="BT12" s="188"/>
      <c r="BU12" s="188"/>
      <c r="BV12" s="188"/>
      <c r="BW12"/>
      <c r="BX12"/>
    </row>
    <row r="13" spans="1:79" ht="11.25" customHeight="1">
      <c r="A13" s="34" t="s">
        <v>1440</v>
      </c>
      <c r="B13" s="634">
        <v>2011</v>
      </c>
      <c r="E13" s="635" t="s">
        <v>1441</v>
      </c>
      <c r="F13" s="35"/>
      <c r="I13" s="635" t="s">
        <v>157</v>
      </c>
      <c r="K13" s="648" t="s">
        <v>1390</v>
      </c>
      <c r="V13" s="214" t="s">
        <v>157</v>
      </c>
      <c r="W13" s="644"/>
      <c r="X13" s="644"/>
      <c r="Y13" s="644"/>
      <c r="AW13" s="664" t="s">
        <v>156</v>
      </c>
      <c r="AX13" s="664" t="s">
        <v>156</v>
      </c>
      <c r="BB13" s="664" t="s">
        <v>1442</v>
      </c>
      <c r="BC13" s="664" t="s">
        <v>1443</v>
      </c>
      <c r="BE13" s="664">
        <v>2011</v>
      </c>
      <c r="BF13" s="664" t="s">
        <v>1444</v>
      </c>
      <c r="BH13" s="629" t="s">
        <v>1445</v>
      </c>
      <c r="BJ13" s="629" t="s">
        <v>1427</v>
      </c>
      <c r="BL13" s="629" t="s">
        <v>1427</v>
      </c>
      <c r="BN13" s="629" t="s">
        <v>1446</v>
      </c>
      <c r="BQ13" s="664">
        <v>4213783</v>
      </c>
      <c r="BR13" s="629" t="s">
        <v>1406</v>
      </c>
      <c r="BS13" s="740"/>
      <c r="BT13" s="188"/>
      <c r="BU13" s="188"/>
      <c r="BV13" s="188"/>
      <c r="BW13" s="188"/>
      <c r="BX13"/>
    </row>
    <row r="14" spans="1:79" ht="11.25" customHeight="1">
      <c r="A14" s="34" t="s">
        <v>1447</v>
      </c>
      <c r="B14" s="634">
        <v>2012</v>
      </c>
      <c r="I14" s="635" t="s">
        <v>158</v>
      </c>
      <c r="J14" s="628" t="s">
        <v>1448</v>
      </c>
      <c r="N14" s="628" t="s">
        <v>1449</v>
      </c>
      <c r="V14" s="639">
        <v>13</v>
      </c>
      <c r="W14" s="640"/>
      <c r="X14" s="640" t="s">
        <v>1258</v>
      </c>
      <c r="Y14" s="634" t="s">
        <v>1226</v>
      </c>
      <c r="AW14" s="664" t="s">
        <v>157</v>
      </c>
      <c r="AX14" s="664" t="s">
        <v>157</v>
      </c>
      <c r="AZ14" s="628" t="s">
        <v>1450</v>
      </c>
      <c r="BB14" s="664" t="s">
        <v>1451</v>
      </c>
      <c r="BC14" s="664" t="s">
        <v>1443</v>
      </c>
      <c r="BE14" s="664">
        <v>2012</v>
      </c>
      <c r="BH14" s="629" t="s">
        <v>1366</v>
      </c>
      <c r="BJ14" s="708" t="s">
        <v>1452</v>
      </c>
      <c r="BL14" s="708" t="s">
        <v>1452</v>
      </c>
      <c r="BN14" s="629" t="s">
        <v>1453</v>
      </c>
      <c r="BQ14" s="664">
        <v>4213782</v>
      </c>
      <c r="BR14" s="629" t="s">
        <v>196</v>
      </c>
      <c r="BS14" s="740"/>
      <c r="BT14" s="188"/>
      <c r="BU14" s="188"/>
      <c r="BV14" s="188"/>
      <c r="BW14" s="188"/>
      <c r="BX14"/>
    </row>
    <row r="15" spans="1:79" ht="19.5" customHeight="1">
      <c r="A15" s="34" t="s">
        <v>1454</v>
      </c>
      <c r="B15" s="634">
        <v>2013</v>
      </c>
      <c r="E15" s="908" t="s">
        <v>1455</v>
      </c>
      <c r="G15" s="628" t="s">
        <v>1456</v>
      </c>
      <c r="H15" s="628" t="s">
        <v>1457</v>
      </c>
      <c r="I15" s="175" t="s">
        <v>159</v>
      </c>
      <c r="J15" s="644" t="s">
        <v>587</v>
      </c>
      <c r="N15" s="670" t="s">
        <v>1458</v>
      </c>
      <c r="X15" s="32"/>
      <c r="AW15" s="664" t="s">
        <v>158</v>
      </c>
      <c r="AX15" s="664" t="s">
        <v>158</v>
      </c>
      <c r="AZ15" s="664" t="s">
        <v>1377</v>
      </c>
      <c r="BB15" s="664" t="s">
        <v>1459</v>
      </c>
      <c r="BC15" s="664" t="s">
        <v>1443</v>
      </c>
      <c r="BE15" s="664">
        <v>2013</v>
      </c>
      <c r="BH15" s="629" t="s">
        <v>1382</v>
      </c>
      <c r="BJ15" s="708" t="s">
        <v>1460</v>
      </c>
      <c r="BL15" s="708" t="s">
        <v>1460</v>
      </c>
      <c r="BN15" s="629" t="s">
        <v>1461</v>
      </c>
      <c r="BR15" s="188"/>
      <c r="BS15" s="188"/>
      <c r="BT15" s="188"/>
      <c r="BU15" s="188"/>
      <c r="BV15" s="188"/>
      <c r="BW15" s="188"/>
      <c r="BX15"/>
    </row>
    <row r="16" spans="1:79" ht="21" customHeight="1">
      <c r="A16" s="1010" t="s">
        <v>1462</v>
      </c>
      <c r="B16" s="634">
        <v>2014</v>
      </c>
      <c r="E16" s="909" t="s">
        <v>1463</v>
      </c>
      <c r="G16" s="635" t="s">
        <v>1464</v>
      </c>
      <c r="H16" s="635" t="s">
        <v>1465</v>
      </c>
      <c r="I16" s="175" t="s">
        <v>1466</v>
      </c>
      <c r="J16" s="644" t="s">
        <v>560</v>
      </c>
      <c r="N16" s="670" t="s">
        <v>1467</v>
      </c>
      <c r="AW16" s="664" t="s">
        <v>159</v>
      </c>
      <c r="AX16" s="664" t="s">
        <v>159</v>
      </c>
      <c r="AZ16" s="664" t="s">
        <v>1393</v>
      </c>
      <c r="BB16" s="664" t="s">
        <v>1468</v>
      </c>
      <c r="BC16" s="664" t="s">
        <v>1443</v>
      </c>
      <c r="BE16" s="664">
        <v>2014</v>
      </c>
      <c r="BH16" s="629" t="s">
        <v>1398</v>
      </c>
      <c r="BJ16" s="708" t="s">
        <v>1469</v>
      </c>
      <c r="BL16" s="708" t="s">
        <v>1469</v>
      </c>
      <c r="BN16" s="629" t="s">
        <v>1470</v>
      </c>
      <c r="BR16" s="188"/>
      <c r="BS16" s="188"/>
      <c r="BT16" s="188"/>
      <c r="BU16" s="188"/>
      <c r="BV16" s="188"/>
      <c r="BW16" s="188"/>
      <c r="BX16"/>
    </row>
    <row r="17" spans="1:82" ht="21" customHeight="1">
      <c r="A17" s="34" t="s">
        <v>1471</v>
      </c>
      <c r="B17" s="634">
        <v>2015</v>
      </c>
      <c r="G17" s="635" t="s">
        <v>1418</v>
      </c>
      <c r="H17" s="635" t="s">
        <v>1418</v>
      </c>
      <c r="I17" s="635" t="s">
        <v>1472</v>
      </c>
      <c r="N17" s="670" t="s">
        <v>1473</v>
      </c>
      <c r="X17" s="32"/>
      <c r="AW17" s="664" t="s">
        <v>1466</v>
      </c>
      <c r="AX17" s="664" t="s">
        <v>1466</v>
      </c>
      <c r="AZ17" s="664" t="s">
        <v>1474</v>
      </c>
      <c r="BB17" s="664" t="s">
        <v>1475</v>
      </c>
      <c r="BC17" s="664" t="s">
        <v>1326</v>
      </c>
      <c r="BE17" s="664">
        <v>2015</v>
      </c>
      <c r="BH17" s="629" t="s">
        <v>1414</v>
      </c>
      <c r="BJ17" s="708" t="s">
        <v>1476</v>
      </c>
      <c r="BL17" s="708" t="s">
        <v>1476</v>
      </c>
      <c r="BN17" s="629" t="s">
        <v>1477</v>
      </c>
      <c r="BR17" s="628" t="s">
        <v>1269</v>
      </c>
      <c r="BS17" s="805"/>
      <c r="BU17" s="628" t="s">
        <v>1478</v>
      </c>
      <c r="BV17" s="188"/>
      <c r="BW17"/>
      <c r="BX17" s="628" t="s">
        <v>1479</v>
      </c>
      <c r="CA17" s="628" t="s">
        <v>1480</v>
      </c>
      <c r="CD17" s="628" t="s">
        <v>1481</v>
      </c>
    </row>
    <row r="18" spans="1:82" ht="21" customHeight="1">
      <c r="A18" s="34" t="s">
        <v>1482</v>
      </c>
      <c r="B18" s="634">
        <v>2016</v>
      </c>
      <c r="E18" s="1059" t="s">
        <v>1483</v>
      </c>
      <c r="I18" s="635" t="s">
        <v>1484</v>
      </c>
      <c r="N18" s="670" t="s">
        <v>1485</v>
      </c>
      <c r="X18" s="32"/>
      <c r="AW18" s="664" t="s">
        <v>1472</v>
      </c>
      <c r="AX18" s="664" t="s">
        <v>1472</v>
      </c>
      <c r="BB18" s="664" t="s">
        <v>1486</v>
      </c>
      <c r="BC18" s="664" t="s">
        <v>1326</v>
      </c>
      <c r="BE18" s="664">
        <v>2016</v>
      </c>
      <c r="BH18" s="629" t="s">
        <v>1428</v>
      </c>
      <c r="BJ18" s="708" t="s">
        <v>1487</v>
      </c>
      <c r="BL18" s="708" t="s">
        <v>1487</v>
      </c>
      <c r="BN18" s="629" t="s">
        <v>1488</v>
      </c>
      <c r="BQ18" s="807" t="s">
        <v>1299</v>
      </c>
      <c r="BR18" s="32" t="s">
        <v>1300</v>
      </c>
      <c r="BS18" s="32"/>
      <c r="BT18" s="807" t="s">
        <v>1489</v>
      </c>
      <c r="BU18" s="32" t="s">
        <v>1490</v>
      </c>
      <c r="BV18" s="188"/>
      <c r="BW18" s="807" t="s">
        <v>1491</v>
      </c>
      <c r="BX18" s="32" t="s">
        <v>1492</v>
      </c>
      <c r="BZ18" s="807" t="s">
        <v>1493</v>
      </c>
      <c r="CA18" s="32" t="s">
        <v>1494</v>
      </c>
      <c r="CC18" s="807" t="s">
        <v>1495</v>
      </c>
      <c r="CD18" s="32" t="s">
        <v>1496</v>
      </c>
    </row>
    <row r="19" spans="1:82" ht="21" customHeight="1">
      <c r="A19" s="1010" t="s">
        <v>1497</v>
      </c>
      <c r="B19" s="634">
        <v>2017</v>
      </c>
      <c r="E19" s="34" t="s">
        <v>171</v>
      </c>
      <c r="I19" s="635" t="s">
        <v>1498</v>
      </c>
      <c r="N19" s="670" t="s">
        <v>1499</v>
      </c>
      <c r="X19" s="32"/>
      <c r="AW19" s="664" t="s">
        <v>1484</v>
      </c>
      <c r="AX19" s="664" t="s">
        <v>1484</v>
      </c>
      <c r="AZ19" s="628" t="s">
        <v>1500</v>
      </c>
      <c r="BB19" s="664" t="s">
        <v>1501</v>
      </c>
      <c r="BC19" s="664" t="s">
        <v>1326</v>
      </c>
      <c r="BE19" s="664">
        <v>2017</v>
      </c>
      <c r="BH19" s="629" t="s">
        <v>1502</v>
      </c>
      <c r="BJ19" s="708" t="s">
        <v>1503</v>
      </c>
      <c r="BL19" s="708" t="s">
        <v>1503</v>
      </c>
      <c r="BQ19" s="664">
        <v>4190064</v>
      </c>
      <c r="BR19" s="629" t="s">
        <v>1504</v>
      </c>
      <c r="BS19" s="740"/>
      <c r="BT19" s="664">
        <v>4189671</v>
      </c>
      <c r="BU19" s="629" t="s">
        <v>1505</v>
      </c>
      <c r="BV19" s="188"/>
      <c r="BW19" s="664">
        <v>4189706</v>
      </c>
      <c r="BX19" s="629" t="s">
        <v>1506</v>
      </c>
      <c r="BZ19" s="664">
        <v>4189714</v>
      </c>
      <c r="CA19" s="629" t="s">
        <v>1507</v>
      </c>
      <c r="CC19" s="664">
        <v>4189708</v>
      </c>
      <c r="CD19" s="629" t="s">
        <v>1508</v>
      </c>
    </row>
    <row r="20" spans="1:82" ht="21" customHeight="1">
      <c r="A20" s="34" t="s">
        <v>1509</v>
      </c>
      <c r="B20" s="634">
        <v>2018</v>
      </c>
      <c r="E20" s="34" t="s">
        <v>1258</v>
      </c>
      <c r="I20" s="635" t="s">
        <v>1510</v>
      </c>
      <c r="N20" s="670" t="s">
        <v>1511</v>
      </c>
      <c r="AW20" s="664" t="s">
        <v>1498</v>
      </c>
      <c r="AX20" s="664" t="s">
        <v>1498</v>
      </c>
      <c r="AZ20" s="664" t="s">
        <v>1512</v>
      </c>
      <c r="BB20" s="664" t="s">
        <v>1513</v>
      </c>
      <c r="BC20" s="664" t="s">
        <v>1443</v>
      </c>
      <c r="BE20" s="664">
        <v>2018</v>
      </c>
      <c r="BH20" s="629" t="s">
        <v>1439</v>
      </c>
      <c r="BJ20" s="629" t="s">
        <v>1366</v>
      </c>
      <c r="BL20" s="629" t="s">
        <v>1366</v>
      </c>
      <c r="BQ20" s="664">
        <v>4190065</v>
      </c>
      <c r="BR20" s="629" t="s">
        <v>1514</v>
      </c>
      <c r="BS20" s="740"/>
      <c r="BT20" s="664">
        <v>4189672</v>
      </c>
      <c r="BU20" s="629" t="s">
        <v>1515</v>
      </c>
      <c r="BV20" s="188"/>
      <c r="BW20" s="664">
        <v>4189705</v>
      </c>
      <c r="BX20" s="629" t="s">
        <v>1516</v>
      </c>
      <c r="BZ20" s="664">
        <v>4189713</v>
      </c>
      <c r="CA20" s="629" t="s">
        <v>1516</v>
      </c>
      <c r="CC20" s="664">
        <v>4189709</v>
      </c>
      <c r="CD20" s="629" t="s">
        <v>1517</v>
      </c>
    </row>
    <row r="21" spans="1:82" ht="21" customHeight="1">
      <c r="A21" s="34" t="s">
        <v>1518</v>
      </c>
      <c r="B21" s="634">
        <v>2019</v>
      </c>
      <c r="I21" s="635" t="s">
        <v>1519</v>
      </c>
      <c r="N21" s="670" t="s">
        <v>1520</v>
      </c>
      <c r="AW21" s="664" t="s">
        <v>1510</v>
      </c>
      <c r="AX21" s="664" t="s">
        <v>1510</v>
      </c>
      <c r="AZ21" s="664" t="s">
        <v>1521</v>
      </c>
      <c r="BB21" s="664" t="s">
        <v>1522</v>
      </c>
      <c r="BC21" s="664" t="s">
        <v>1326</v>
      </c>
      <c r="BE21" s="664">
        <v>2019</v>
      </c>
      <c r="BH21" s="629" t="s">
        <v>1446</v>
      </c>
      <c r="BJ21" s="629" t="s">
        <v>1382</v>
      </c>
      <c r="BL21" s="629" t="s">
        <v>1382</v>
      </c>
      <c r="BQ21" s="664">
        <v>4190066</v>
      </c>
      <c r="BR21" s="629" t="s">
        <v>1523</v>
      </c>
      <c r="BS21" s="740"/>
      <c r="BT21" s="664">
        <v>4189673</v>
      </c>
      <c r="BU21" s="629" t="s">
        <v>1524</v>
      </c>
      <c r="BV21" s="188"/>
      <c r="BW21" s="664">
        <v>4189707</v>
      </c>
      <c r="BX21" s="629" t="s">
        <v>1525</v>
      </c>
      <c r="BZ21" s="664">
        <v>4189712</v>
      </c>
      <c r="CA21" s="629" t="s">
        <v>1526</v>
      </c>
      <c r="CC21" s="664">
        <v>4189710</v>
      </c>
      <c r="CD21" s="629" t="s">
        <v>1527</v>
      </c>
    </row>
    <row r="22" spans="1:82" ht="21" customHeight="1">
      <c r="A22" s="34" t="s">
        <v>1528</v>
      </c>
      <c r="B22" s="634">
        <v>2020</v>
      </c>
      <c r="N22" s="670" t="s">
        <v>1529</v>
      </c>
      <c r="AW22" s="664" t="s">
        <v>1519</v>
      </c>
      <c r="AX22" s="664" t="s">
        <v>1519</v>
      </c>
      <c r="AZ22" s="664" t="s">
        <v>1530</v>
      </c>
      <c r="BB22" s="664" t="s">
        <v>1531</v>
      </c>
      <c r="BC22" s="664" t="s">
        <v>1326</v>
      </c>
      <c r="BE22" s="664">
        <v>2020</v>
      </c>
      <c r="BH22" s="629" t="s">
        <v>1453</v>
      </c>
      <c r="BJ22" s="629" t="s">
        <v>1398</v>
      </c>
      <c r="BL22" s="629" t="s">
        <v>1398</v>
      </c>
      <c r="BQ22" s="664">
        <v>4190067</v>
      </c>
      <c r="BR22" s="629" t="s">
        <v>1532</v>
      </c>
      <c r="BS22" s="740"/>
      <c r="BT22" s="664">
        <v>4189674</v>
      </c>
      <c r="BU22" s="629" t="s">
        <v>1533</v>
      </c>
      <c r="BV22" s="188"/>
      <c r="BW22" s="188"/>
      <c r="CC22" s="664">
        <v>4189711</v>
      </c>
      <c r="CD22" s="629" t="s">
        <v>297</v>
      </c>
    </row>
    <row r="23" spans="1:82" ht="21" customHeight="1">
      <c r="A23" s="34" t="s">
        <v>1534</v>
      </c>
      <c r="B23" s="634">
        <v>2021</v>
      </c>
      <c r="AW23" s="664" t="s">
        <v>1535</v>
      </c>
      <c r="AX23" s="664" t="s">
        <v>1535</v>
      </c>
      <c r="AZ23" s="664" t="s">
        <v>1536</v>
      </c>
      <c r="BB23" s="664" t="s">
        <v>1537</v>
      </c>
      <c r="BC23" s="664" t="s">
        <v>1236</v>
      </c>
      <c r="BE23" s="664">
        <v>2021</v>
      </c>
      <c r="BH23" s="629" t="s">
        <v>1461</v>
      </c>
      <c r="BJ23" s="629" t="s">
        <v>1414</v>
      </c>
      <c r="BL23" s="629" t="s">
        <v>1414</v>
      </c>
      <c r="BQ23" s="664">
        <v>4190068</v>
      </c>
      <c r="BR23" s="629" t="s">
        <v>1538</v>
      </c>
      <c r="BS23" s="740"/>
      <c r="BT23" s="664">
        <v>4189675</v>
      </c>
      <c r="BU23" s="629" t="s">
        <v>1539</v>
      </c>
      <c r="BV23" s="188"/>
      <c r="BW23" s="188"/>
      <c r="CC23" s="664">
        <v>5110778</v>
      </c>
      <c r="CD23" s="629" t="s">
        <v>1540</v>
      </c>
    </row>
    <row r="24" spans="1:82" ht="21" customHeight="1">
      <c r="A24" s="34" t="s">
        <v>1541</v>
      </c>
      <c r="B24" s="634">
        <v>2022</v>
      </c>
      <c r="AW24" s="664" t="s">
        <v>1542</v>
      </c>
      <c r="AX24" s="664" t="s">
        <v>1542</v>
      </c>
      <c r="AZ24" s="664" t="s">
        <v>1543</v>
      </c>
      <c r="BB24" s="664" t="s">
        <v>1544</v>
      </c>
      <c r="BC24" s="664" t="s">
        <v>1545</v>
      </c>
      <c r="BE24" s="664">
        <v>2022</v>
      </c>
      <c r="BH24" s="629" t="s">
        <v>1470</v>
      </c>
      <c r="BJ24" s="629" t="s">
        <v>1428</v>
      </c>
      <c r="BL24" s="629" t="s">
        <v>1428</v>
      </c>
      <c r="BQ24" s="664">
        <v>4190069</v>
      </c>
      <c r="BR24" s="629" t="s">
        <v>1546</v>
      </c>
      <c r="BS24" s="740"/>
      <c r="BT24" s="664">
        <v>4189676</v>
      </c>
      <c r="BU24" s="629" t="s">
        <v>1547</v>
      </c>
      <c r="BV24" s="188"/>
      <c r="BW24" s="188"/>
      <c r="CC24" s="664">
        <v>25575374</v>
      </c>
      <c r="CD24" s="629" t="s">
        <v>1548</v>
      </c>
    </row>
    <row r="25" spans="1:82" ht="11.25" customHeight="1">
      <c r="A25" s="34" t="s">
        <v>1549</v>
      </c>
      <c r="B25" s="634">
        <v>2023</v>
      </c>
      <c r="AW25" s="664" t="s">
        <v>1550</v>
      </c>
      <c r="AX25" s="664" t="s">
        <v>1550</v>
      </c>
      <c r="AZ25" s="664" t="s">
        <v>1551</v>
      </c>
      <c r="BB25" s="664" t="s">
        <v>1552</v>
      </c>
      <c r="BC25" s="664" t="s">
        <v>1545</v>
      </c>
      <c r="BE25" s="664">
        <v>2023</v>
      </c>
      <c r="BH25" s="629" t="s">
        <v>1477</v>
      </c>
      <c r="BJ25" s="629" t="s">
        <v>1502</v>
      </c>
      <c r="BL25" s="629" t="s">
        <v>1502</v>
      </c>
      <c r="BQ25" s="664">
        <v>4190070</v>
      </c>
      <c r="BR25" s="629" t="s">
        <v>1553</v>
      </c>
      <c r="BS25" s="740"/>
      <c r="BT25" s="664">
        <v>4189677</v>
      </c>
      <c r="BU25" s="629" t="s">
        <v>1554</v>
      </c>
      <c r="BV25" s="188"/>
      <c r="BW25" s="188"/>
    </row>
    <row r="26" spans="1:82" ht="11.25" customHeight="1">
      <c r="A26" s="34" t="s">
        <v>1555</v>
      </c>
      <c r="B26" s="634">
        <v>2024</v>
      </c>
      <c r="J26" s="940" t="s">
        <v>1556</v>
      </c>
      <c r="AX26" s="664" t="s">
        <v>1557</v>
      </c>
      <c r="AZ26" s="664" t="s">
        <v>1421</v>
      </c>
      <c r="BB26" s="664" t="s">
        <v>1558</v>
      </c>
      <c r="BC26" s="664" t="s">
        <v>1545</v>
      </c>
      <c r="BE26" s="664">
        <v>2024</v>
      </c>
      <c r="BH26" s="629" t="s">
        <v>1488</v>
      </c>
      <c r="BJ26" s="629" t="s">
        <v>1439</v>
      </c>
      <c r="BL26" s="629" t="s">
        <v>1439</v>
      </c>
      <c r="BQ26" s="664">
        <v>4190071</v>
      </c>
      <c r="BR26" s="629" t="s">
        <v>1559</v>
      </c>
      <c r="BS26" s="740"/>
      <c r="BV26" s="188"/>
      <c r="BW26" s="188"/>
    </row>
    <row r="27" spans="1:82" ht="11.25" customHeight="1">
      <c r="A27" s="34" t="s">
        <v>1560</v>
      </c>
      <c r="B27" s="634">
        <v>2025</v>
      </c>
      <c r="J27" s="87" t="s">
        <v>104</v>
      </c>
      <c r="AX27" s="664" t="s">
        <v>1561</v>
      </c>
      <c r="BB27" s="664" t="s">
        <v>1562</v>
      </c>
      <c r="BC27" s="664" t="s">
        <v>1545</v>
      </c>
      <c r="BE27" s="664">
        <v>2025</v>
      </c>
      <c r="BH27" s="188" t="s">
        <v>22</v>
      </c>
      <c r="BJ27" s="629" t="s">
        <v>1446</v>
      </c>
      <c r="BL27" s="629" t="s">
        <v>1446</v>
      </c>
      <c r="BN27" s="188" t="s">
        <v>22</v>
      </c>
      <c r="BQ27" s="664">
        <v>4190072</v>
      </c>
      <c r="BR27" s="629" t="s">
        <v>1563</v>
      </c>
      <c r="BS27" s="740"/>
      <c r="BV27" s="188"/>
      <c r="BW27" s="188"/>
    </row>
    <row r="28" spans="1:82" ht="11.25" customHeight="1">
      <c r="A28" s="34" t="s">
        <v>1564</v>
      </c>
      <c r="D28" s="34"/>
      <c r="E28" s="649"/>
      <c r="F28" s="649"/>
      <c r="H28" s="148" t="s">
        <v>1565</v>
      </c>
      <c r="AX28" s="664" t="s">
        <v>1566</v>
      </c>
      <c r="AZ28" s="628" t="s">
        <v>1567</v>
      </c>
      <c r="BB28" s="664" t="s">
        <v>1568</v>
      </c>
      <c r="BC28" s="664" t="s">
        <v>1569</v>
      </c>
      <c r="BE28" s="664">
        <v>2026</v>
      </c>
      <c r="BH28" s="188" t="s">
        <v>22</v>
      </c>
      <c r="BJ28" s="629" t="s">
        <v>1453</v>
      </c>
      <c r="BL28" s="629" t="s">
        <v>1453</v>
      </c>
      <c r="BN28" s="188" t="s">
        <v>22</v>
      </c>
      <c r="BQ28" s="664">
        <v>4190073</v>
      </c>
      <c r="BR28" s="629" t="s">
        <v>1570</v>
      </c>
      <c r="BS28" s="740"/>
      <c r="BV28" s="188"/>
      <c r="BW28" s="188"/>
    </row>
    <row r="29" spans="1:82" ht="11.25" customHeight="1">
      <c r="A29" s="34" t="s">
        <v>1571</v>
      </c>
      <c r="D29" s="650" t="s">
        <v>1572</v>
      </c>
      <c r="E29" s="651" t="str">
        <f>IF(TEMPLATE_GROUP="","",INDEX(StartDateList,MATCH(TEMPLATE_GROUP,CodeTemplateList,0),1))</f>
        <v>01.10.2024</v>
      </c>
      <c r="F29" s="651" t="str">
        <f>IF(TEMPLATE_GROUP="","",INDEX(EndDateList,MATCH(TEMPLATE_GROUP,CodeTemplateList,0),1))</f>
        <v>31.12.2024</v>
      </c>
      <c r="H29" s="652" t="s">
        <v>1573</v>
      </c>
      <c r="AX29" s="664" t="s">
        <v>1574</v>
      </c>
      <c r="AZ29" s="664" t="s">
        <v>1221</v>
      </c>
      <c r="BB29" s="664" t="s">
        <v>1421</v>
      </c>
      <c r="BC29" s="17"/>
      <c r="BE29" s="664">
        <v>2027</v>
      </c>
      <c r="BJ29" s="629" t="s">
        <v>1461</v>
      </c>
      <c r="BL29" s="629" t="s">
        <v>1461</v>
      </c>
    </row>
    <row r="30" spans="1:82" ht="11.25" customHeight="1">
      <c r="A30" s="34" t="s">
        <v>1575</v>
      </c>
      <c r="D30" s="653"/>
      <c r="E30" s="654"/>
      <c r="F30" s="654"/>
      <c r="AX30" s="664" t="s">
        <v>1576</v>
      </c>
      <c r="AZ30" s="664" t="s">
        <v>1247</v>
      </c>
      <c r="BE30" s="664">
        <v>2028</v>
      </c>
      <c r="BJ30" s="629" t="s">
        <v>1577</v>
      </c>
      <c r="BL30" s="629" t="s">
        <v>1577</v>
      </c>
    </row>
    <row r="31" spans="1:82" ht="12.75" customHeight="1">
      <c r="A31" s="34" t="s">
        <v>1578</v>
      </c>
      <c r="D31" s="34"/>
      <c r="E31" s="649"/>
      <c r="F31" s="649"/>
      <c r="H31" s="655"/>
      <c r="AX31" s="664" t="s">
        <v>1579</v>
      </c>
      <c r="AZ31" s="664" t="s">
        <v>1580</v>
      </c>
      <c r="BE31" s="664">
        <v>2029</v>
      </c>
      <c r="BJ31" s="629" t="s">
        <v>1581</v>
      </c>
      <c r="BL31" s="629" t="s">
        <v>1581</v>
      </c>
    </row>
    <row r="32" spans="1:82" ht="11.25" customHeight="1">
      <c r="A32" s="34" t="s">
        <v>1582</v>
      </c>
      <c r="D32" s="650" t="s">
        <v>1583</v>
      </c>
      <c r="E32" s="651" t="str">
        <f>IF(TEMPLATE_GROUP="","",INDEX(StartDateList,MATCH(TEMPLATE_GROUP,CodeTemplateList,0),1))</f>
        <v>01.10.2024</v>
      </c>
      <c r="F32" s="651" t="str">
        <f>IF(TEMPLATE_GROUP="","",INDEX(EndDateList,MATCH(TEMPLATE_GROUP,CodeTemplateList,0),1))</f>
        <v>31.12.2024</v>
      </c>
      <c r="H32" s="656" t="s">
        <v>1584</v>
      </c>
      <c r="O32" s="34" t="s">
        <v>1219</v>
      </c>
      <c r="AX32" s="664" t="s">
        <v>1585</v>
      </c>
      <c r="AZ32" s="664" t="s">
        <v>1314</v>
      </c>
      <c r="BE32" s="664">
        <v>2030</v>
      </c>
      <c r="BJ32" s="629" t="s">
        <v>1470</v>
      </c>
      <c r="BL32" s="629" t="s">
        <v>1470</v>
      </c>
    </row>
    <row r="33" spans="1:66" ht="11.25" customHeight="1">
      <c r="A33" s="34" t="s">
        <v>1586</v>
      </c>
      <c r="O33" s="34" t="s">
        <v>1244</v>
      </c>
      <c r="AX33" s="664" t="s">
        <v>1587</v>
      </c>
      <c r="AZ33" s="664" t="s">
        <v>1220</v>
      </c>
      <c r="BE33" s="664">
        <v>2031</v>
      </c>
      <c r="BJ33" s="629" t="s">
        <v>1477</v>
      </c>
      <c r="BL33" s="629" t="s">
        <v>1477</v>
      </c>
    </row>
    <row r="34" spans="1:66" ht="11.25" customHeight="1">
      <c r="A34" s="34" t="s">
        <v>1588</v>
      </c>
      <c r="O34" s="34" t="s">
        <v>1280</v>
      </c>
      <c r="AX34" s="664" t="s">
        <v>1589</v>
      </c>
      <c r="BE34" s="664">
        <v>2032</v>
      </c>
      <c r="BJ34" s="629" t="s">
        <v>1488</v>
      </c>
      <c r="BL34" s="629" t="s">
        <v>1488</v>
      </c>
    </row>
    <row r="35" spans="1:66" ht="11.25" customHeight="1">
      <c r="A35" s="34" t="s">
        <v>1590</v>
      </c>
      <c r="O35" s="34" t="s">
        <v>1312</v>
      </c>
      <c r="AX35" s="664" t="s">
        <v>1591</v>
      </c>
      <c r="AZ35" s="628" t="s">
        <v>1592</v>
      </c>
      <c r="BE35" s="664">
        <v>2033</v>
      </c>
      <c r="BL35" s="629" t="s">
        <v>1593</v>
      </c>
    </row>
    <row r="36" spans="1:66" ht="11.25" customHeight="1">
      <c r="A36" s="1010" t="s">
        <v>1594</v>
      </c>
      <c r="D36" s="657" t="s">
        <v>1595</v>
      </c>
      <c r="E36" s="658" t="s">
        <v>811</v>
      </c>
      <c r="F36" s="643" t="str">
        <f>INDEX(E37:E41,MATCH(TEMPLATE_SPHERE,F37:F41,0))</f>
        <v>теплоснабжения</v>
      </c>
      <c r="G36" s="643" t="str">
        <f>INDEX(G37:G41,MATCH(TEMPLATE_SPHERE,F37:F41,0))</f>
        <v>теплоснабжение</v>
      </c>
      <c r="O36" s="34" t="s">
        <v>1337</v>
      </c>
      <c r="AX36" s="664" t="s">
        <v>1596</v>
      </c>
      <c r="AZ36" s="664" t="s">
        <v>1220</v>
      </c>
      <c r="BE36" s="664">
        <v>2034</v>
      </c>
      <c r="BL36" s="629" t="s">
        <v>1597</v>
      </c>
    </row>
    <row r="37" spans="1:66" ht="11.25" customHeight="1">
      <c r="A37" s="34" t="s">
        <v>1598</v>
      </c>
      <c r="E37" s="233" t="s">
        <v>1599</v>
      </c>
      <c r="F37" s="659" t="s">
        <v>811</v>
      </c>
      <c r="G37" s="233" t="s">
        <v>1600</v>
      </c>
      <c r="O37" s="34" t="s">
        <v>1356</v>
      </c>
      <c r="AX37" s="664" t="s">
        <v>1601</v>
      </c>
      <c r="AZ37" s="664" t="s">
        <v>1246</v>
      </c>
      <c r="BE37" s="664">
        <v>2035</v>
      </c>
    </row>
    <row r="38" spans="1:66" ht="11.25" customHeight="1">
      <c r="A38" s="34" t="s">
        <v>1602</v>
      </c>
      <c r="E38" s="233" t="s">
        <v>1603</v>
      </c>
      <c r="F38" s="660" t="s">
        <v>857</v>
      </c>
      <c r="G38" s="233" t="s">
        <v>1604</v>
      </c>
      <c r="O38" s="34" t="s">
        <v>1373</v>
      </c>
      <c r="AX38" s="664" t="s">
        <v>1605</v>
      </c>
      <c r="AZ38" s="664" t="s">
        <v>1281</v>
      </c>
      <c r="BE38" s="664">
        <v>2036</v>
      </c>
      <c r="BH38" s="628" t="s">
        <v>1606</v>
      </c>
      <c r="BJ38" s="628" t="s">
        <v>1607</v>
      </c>
      <c r="BL38" s="628" t="s">
        <v>1608</v>
      </c>
      <c r="BN38" s="628" t="s">
        <v>1609</v>
      </c>
    </row>
    <row r="39" spans="1:66" ht="11.25" customHeight="1">
      <c r="A39" s="34" t="s">
        <v>1610</v>
      </c>
      <c r="E39" s="233" t="s">
        <v>1611</v>
      </c>
      <c r="F39" s="660" t="s">
        <v>910</v>
      </c>
      <c r="G39" s="233" t="s">
        <v>1612</v>
      </c>
      <c r="O39" s="34" t="s">
        <v>1389</v>
      </c>
      <c r="AX39" s="664" t="s">
        <v>1613</v>
      </c>
      <c r="AZ39" s="664" t="s">
        <v>1313</v>
      </c>
      <c r="BE39" s="664">
        <v>2037</v>
      </c>
      <c r="BH39" s="629" t="s">
        <v>1614</v>
      </c>
      <c r="BJ39" s="708" t="s">
        <v>1614</v>
      </c>
      <c r="BL39" s="708" t="s">
        <v>1614</v>
      </c>
      <c r="BN39" s="629" t="s">
        <v>1615</v>
      </c>
    </row>
    <row r="40" spans="1:66" ht="11.25" customHeight="1">
      <c r="A40" s="34" t="s">
        <v>1616</v>
      </c>
      <c r="E40" s="233" t="s">
        <v>1617</v>
      </c>
      <c r="F40" s="660" t="s">
        <v>897</v>
      </c>
      <c r="G40" s="233" t="s">
        <v>1618</v>
      </c>
      <c r="O40" s="34" t="s">
        <v>1405</v>
      </c>
      <c r="AX40" s="664" t="s">
        <v>1619</v>
      </c>
      <c r="BE40" s="664">
        <v>2038</v>
      </c>
      <c r="BH40" s="629" t="s">
        <v>1620</v>
      </c>
      <c r="BJ40" s="708" t="s">
        <v>1031</v>
      </c>
      <c r="BL40" s="708" t="s">
        <v>1031</v>
      </c>
      <c r="BN40" s="629" t="s">
        <v>1065</v>
      </c>
    </row>
    <row r="41" spans="1:66" ht="11.25" customHeight="1">
      <c r="A41" s="34" t="s">
        <v>1621</v>
      </c>
      <c r="E41" s="233" t="s">
        <v>1622</v>
      </c>
      <c r="F41" s="660" t="s">
        <v>1623</v>
      </c>
      <c r="G41" s="233" t="s">
        <v>1622</v>
      </c>
      <c r="O41" s="34" t="s">
        <v>1421</v>
      </c>
      <c r="AX41" s="664" t="s">
        <v>1624</v>
      </c>
      <c r="AZ41" s="628" t="s">
        <v>1625</v>
      </c>
      <c r="BE41" s="664">
        <v>2039</v>
      </c>
      <c r="BH41" s="629" t="s">
        <v>1626</v>
      </c>
      <c r="BJ41" s="708" t="s">
        <v>1027</v>
      </c>
      <c r="BL41" s="708" t="s">
        <v>1027</v>
      </c>
      <c r="BN41" s="629" t="s">
        <v>1052</v>
      </c>
    </row>
    <row r="42" spans="1:66" ht="11.25" customHeight="1">
      <c r="A42" s="34" t="s">
        <v>1627</v>
      </c>
      <c r="AX42" s="664" t="s">
        <v>1628</v>
      </c>
      <c r="AZ42" s="664" t="s">
        <v>1219</v>
      </c>
      <c r="BE42" s="664">
        <v>2040</v>
      </c>
      <c r="BH42" s="629" t="s">
        <v>1049</v>
      </c>
      <c r="BJ42" s="708" t="s">
        <v>1029</v>
      </c>
      <c r="BL42" s="708" t="s">
        <v>1029</v>
      </c>
      <c r="BN42" s="629" t="s">
        <v>1629</v>
      </c>
    </row>
    <row r="43" spans="1:66" ht="11.25" customHeight="1">
      <c r="A43" s="34" t="s">
        <v>1630</v>
      </c>
      <c r="AX43" s="664" t="s">
        <v>1631</v>
      </c>
      <c r="AZ43" s="664" t="s">
        <v>1244</v>
      </c>
      <c r="BE43" s="664">
        <v>2041</v>
      </c>
      <c r="BH43" s="629" t="s">
        <v>1632</v>
      </c>
      <c r="BJ43" s="708" t="s">
        <v>1626</v>
      </c>
      <c r="BL43" s="708" t="s">
        <v>1626</v>
      </c>
      <c r="BN43" s="629" t="s">
        <v>1633</v>
      </c>
    </row>
    <row r="44" spans="1:66" ht="11.25" customHeight="1">
      <c r="A44" s="34" t="s">
        <v>1634</v>
      </c>
      <c r="G44" s="197">
        <f ca="1">YEAR(TODAY())</f>
        <v>2025</v>
      </c>
      <c r="I44" s="460" t="s">
        <v>1635</v>
      </c>
      <c r="J44" s="644" t="s">
        <v>1636</v>
      </c>
      <c r="K44" s="644" t="s">
        <v>1637</v>
      </c>
      <c r="AX44" s="664" t="s">
        <v>1638</v>
      </c>
      <c r="AZ44" s="664" t="s">
        <v>1280</v>
      </c>
      <c r="BE44" s="664">
        <v>2042</v>
      </c>
      <c r="BH44" s="629" t="s">
        <v>1639</v>
      </c>
      <c r="BJ44" s="708" t="s">
        <v>1049</v>
      </c>
      <c r="BL44" s="708" t="s">
        <v>1049</v>
      </c>
      <c r="BN44" s="629" t="s">
        <v>1640</v>
      </c>
    </row>
    <row r="45" spans="1:66" ht="11.25" customHeight="1">
      <c r="A45" s="34" t="s">
        <v>1641</v>
      </c>
      <c r="D45" s="657" t="s">
        <v>1642</v>
      </c>
      <c r="E45" s="658" t="s">
        <v>1643</v>
      </c>
      <c r="F45" s="459" t="s">
        <v>1644</v>
      </c>
      <c r="G45" s="458" t="s">
        <v>1645</v>
      </c>
      <c r="H45" s="460" t="s">
        <v>1646</v>
      </c>
      <c r="I45" s="950" t="b">
        <f>INDEX(PeriodIsEmptyList,MATCH(TEMPLATE_GROUP,CodeTemplateList,0),1)</f>
        <v>0</v>
      </c>
      <c r="J45" s="953"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4" t="s">
        <v>1647</v>
      </c>
      <c r="AZ45" s="664" t="s">
        <v>1312</v>
      </c>
      <c r="BE45" s="664">
        <v>2043</v>
      </c>
      <c r="BH45" s="629" t="s">
        <v>1648</v>
      </c>
      <c r="BJ45" s="708" t="s">
        <v>1043</v>
      </c>
      <c r="BL45" s="708" t="s">
        <v>1043</v>
      </c>
      <c r="BN45" s="629" t="s">
        <v>1649</v>
      </c>
    </row>
    <row r="46" spans="1:66" ht="11.25" customHeight="1">
      <c r="A46" s="34" t="s">
        <v>1650</v>
      </c>
      <c r="E46" s="233" t="s">
        <v>27</v>
      </c>
      <c r="F46" s="659" t="s">
        <v>1651</v>
      </c>
      <c r="G46" s="661" t="str">
        <f ca="1">IFERROR(IF(TITLE_DATE_FIL="","01.01."&amp;CURRENT_YEAR,"01.01."&amp;YEAR(TITLE_DATE_FIL)),"01.01."&amp;CURRENT_YEAR)</f>
        <v>01.01.2025</v>
      </c>
      <c r="H46" s="661" t="str">
        <f ca="1">IFERROR(IF(TITLE_DATE_FIL="","31.12."&amp;CURRENT_YEAR,"31.12."&amp;YEAR(TITLE_DATE_FIL)),"31.12."&amp;CURRENT_YEAR)</f>
        <v>31.12.2025</v>
      </c>
      <c r="I46" s="951" t="b">
        <f>IF(TITLE_DATE_FIL="",TRUE,FALSE)</f>
        <v>1</v>
      </c>
      <c r="J46" s="954" t="str">
        <f>"Общая информация о регулируемой организации ("&amp;TEMPLATE_SPHERE_RUS&amp;")"</f>
        <v>Общая информация о регулируемой организации (теплоснабжения)</v>
      </c>
      <c r="K46" s="955"/>
      <c r="AX46" s="664" t="s">
        <v>1652</v>
      </c>
      <c r="AZ46" s="664" t="s">
        <v>1337</v>
      </c>
      <c r="BE46" s="664">
        <v>2044</v>
      </c>
      <c r="BH46" s="629" t="s">
        <v>1052</v>
      </c>
      <c r="BJ46" s="708" t="s">
        <v>1033</v>
      </c>
      <c r="BL46" s="708" t="s">
        <v>1033</v>
      </c>
      <c r="BN46" s="629" t="s">
        <v>1653</v>
      </c>
    </row>
    <row r="47" spans="1:66" ht="11.25" customHeight="1">
      <c r="A47" s="34" t="s">
        <v>1654</v>
      </c>
      <c r="E47" s="233" t="s">
        <v>33</v>
      </c>
      <c r="F47" s="660" t="s">
        <v>1643</v>
      </c>
      <c r="G47" s="661" t="str">
        <f>IFERROR(IF(f_year="","01.01."&amp;CURRENT_YEAR,IF(LEN(f_quart)=0,"01.01."&amp;f_year,IF(f_quart="I квартал","01.01."&amp;f_year,IF(f_quart="II квартал","01.04."&amp;f_year,(IF(f_quart="III квартал","01.07."&amp;f_year,"01.10."&amp;f_year)))))),"01.01."&amp;CURRENT_YEAR)</f>
        <v>01.10.2024</v>
      </c>
      <c r="H47" s="661" t="str">
        <f>IFERROR(IF(f_year="","31.12."&amp;CURRENT_YEAR,IF(LEN(f_quart)=0,"31.12."&amp;f_year,IF(f_quart="I квартал","31.03."&amp;f_year,IF(f_quart="II квартал","30.06."&amp;f_year,(IF(f_quart="III квартал","30.09."&amp;f_year,"31.12."&amp;f_year)))))),"31.12."&amp;CURRENT_YEAR)</f>
        <v>31.12.2024</v>
      </c>
      <c r="I47" s="952" t="b">
        <f>IF(OR(f_year="",f_quart=""),TRUE,FALSE)</f>
        <v>0</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955"/>
      <c r="AX47" s="664" t="s">
        <v>1655</v>
      </c>
      <c r="AZ47" s="664" t="s">
        <v>1356</v>
      </c>
      <c r="BE47" s="664">
        <v>2045</v>
      </c>
      <c r="BH47" s="629" t="s">
        <v>1629</v>
      </c>
      <c r="BJ47" s="708" t="s">
        <v>1035</v>
      </c>
      <c r="BL47" s="708" t="s">
        <v>1035</v>
      </c>
      <c r="BN47" s="629" t="s">
        <v>1656</v>
      </c>
    </row>
    <row r="48" spans="1:66" ht="11.25" customHeight="1">
      <c r="A48" s="34" t="s">
        <v>1657</v>
      </c>
      <c r="E48" s="233" t="s">
        <v>1658</v>
      </c>
      <c r="F48" s="660" t="s">
        <v>1659</v>
      </c>
      <c r="G48" s="661" t="str">
        <f>IFERROR(IF(f_year="","01.01."&amp;CURRENT_YEAR,"01.01."&amp;f_year),"01.01."&amp;CURRENT_YEAR)</f>
        <v>01.01.2024</v>
      </c>
      <c r="H48" s="661" t="str">
        <f>IFERROR(IF(f_year="","31.12."&amp;CURRENT_YEAR,"31.12."&amp;f_year),"31.12."&amp;CURRENT_YEAR)</f>
        <v>31.12.2024</v>
      </c>
      <c r="I48" s="951" t="b">
        <f>IF(f_year="",TRUE,FALSE)</f>
        <v>0</v>
      </c>
      <c r="J48" s="954" t="s">
        <v>1660</v>
      </c>
      <c r="K48" s="955"/>
      <c r="AX48" s="664" t="s">
        <v>1661</v>
      </c>
      <c r="AZ48" s="664" t="s">
        <v>1373</v>
      </c>
      <c r="BE48" s="664">
        <v>2046</v>
      </c>
      <c r="BH48" s="629" t="s">
        <v>1633</v>
      </c>
      <c r="BJ48" s="708" t="s">
        <v>1037</v>
      </c>
      <c r="BL48" s="708" t="s">
        <v>1037</v>
      </c>
      <c r="BN48" s="629" t="s">
        <v>1662</v>
      </c>
    </row>
    <row r="49" spans="1:64" ht="11.25" customHeight="1">
      <c r="A49" s="34" t="s">
        <v>1663</v>
      </c>
      <c r="E49" s="233" t="s">
        <v>1664</v>
      </c>
      <c r="F49" s="660" t="s">
        <v>1665</v>
      </c>
      <c r="G49" s="661" t="str">
        <f>IFERROR(IF(f_year="","01.01."&amp;CURRENT_YEAR,"01.01."&amp;f_year),"01.01."&amp;CURRENT_YEAR)</f>
        <v>01.01.2024</v>
      </c>
      <c r="H49" s="661" t="str">
        <f>IFERROR(IF(f_year="","31.12."&amp;CURRENT_YEAR,"31.12."&amp;f_year),"31.12."&amp;CURRENT_YEAR)</f>
        <v>31.12.2024</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955"/>
      <c r="AX49" s="664" t="s">
        <v>1666</v>
      </c>
      <c r="AZ49" s="664" t="s">
        <v>1389</v>
      </c>
      <c r="BE49" s="664">
        <v>2047</v>
      </c>
      <c r="BH49" s="629" t="s">
        <v>1053</v>
      </c>
      <c r="BJ49" s="708" t="s">
        <v>1039</v>
      </c>
      <c r="BL49" s="708" t="s">
        <v>1039</v>
      </c>
    </row>
    <row r="50" spans="1:64" ht="11.25" customHeight="1">
      <c r="A50" s="34" t="s">
        <v>1667</v>
      </c>
      <c r="E50" s="233" t="s">
        <v>1668</v>
      </c>
      <c r="F50" s="660" t="s">
        <v>1023</v>
      </c>
      <c r="G50" s="661" t="str">
        <f>IFERROR(IF(f_year="","01.01."&amp;CURRENT_YEAR,"01.01."&amp;f_year),"01.01."&amp;CURRENT_YEAR)</f>
        <v>01.01.2024</v>
      </c>
      <c r="H50" s="661" t="str">
        <f>IFERROR(IF(f_year="","31.12."&amp;CURRENT_YEAR,"31.12."&amp;f_year),"31.12."&amp;CURRENT_YEAR)</f>
        <v>31.12.2024</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955"/>
      <c r="AX50" s="664" t="s">
        <v>1669</v>
      </c>
      <c r="AZ50" s="664" t="s">
        <v>1405</v>
      </c>
      <c r="BE50" s="664">
        <v>2048</v>
      </c>
      <c r="BH50" s="629" t="s">
        <v>1640</v>
      </c>
      <c r="BJ50" s="708" t="s">
        <v>1041</v>
      </c>
      <c r="BL50" s="708" t="s">
        <v>1041</v>
      </c>
    </row>
    <row r="51" spans="1:64" ht="11.25" customHeight="1">
      <c r="A51" s="34" t="s">
        <v>1670</v>
      </c>
      <c r="E51" s="233" t="s">
        <v>1671</v>
      </c>
      <c r="F51" s="660" t="s">
        <v>1672</v>
      </c>
      <c r="G51" s="661" t="str">
        <f ca="1">IFERROR(IF(TITLE_PERIOD_START="","01.01."&amp;CURRENT_YEAR,"01.01."&amp;YEAR(TITLE_PERIOD_START)),"01.01."&amp;CURRENT_YEAR)</f>
        <v>01.01.2025</v>
      </c>
      <c r="H51" s="661" t="str">
        <f ca="1">IFERROR(IF(TITLE_PERIOD_END="","31.12."&amp;CURRENT_YEAR,"31.12."&amp;YEAR(TITLE_PERIOD_END)),"31.12."&amp;CURRENT_YEAR)</f>
        <v>31.12.2025</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1673</v>
      </c>
      <c r="AZ51" s="664" t="s">
        <v>1421</v>
      </c>
      <c r="BE51" s="664">
        <v>2049</v>
      </c>
      <c r="BH51" s="629" t="s">
        <v>1649</v>
      </c>
      <c r="BJ51" s="708" t="s">
        <v>1674</v>
      </c>
      <c r="BL51" s="708" t="s">
        <v>1674</v>
      </c>
    </row>
    <row r="52" spans="1:64" ht="11.25" customHeight="1">
      <c r="A52" s="34" t="s">
        <v>1675</v>
      </c>
      <c r="E52" s="233" t="s">
        <v>1676</v>
      </c>
      <c r="F52" s="660" t="s">
        <v>1677</v>
      </c>
      <c r="G52" s="661" t="str">
        <f ca="1">IFERROR(IF(TITLE_PERIOD_START="","01.01."&amp;CURRENT_YEAR,"01.01."&amp;YEAR(TITLE_PERIOD_START)),"01.01."&amp;CURRENT_YEAR)</f>
        <v>01.01.2025</v>
      </c>
      <c r="H52" s="661" t="str">
        <f ca="1">IFERROR(IF(TITLE_PERIOD_END="","31.12."&amp;CURRENT_YEAR,"31.12."&amp;YEAR(TITLE_PERIOD_END)),"31.12."&amp;CURRENT_YEAR)</f>
        <v>31.12.2025</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теплоснабжения (цены и тарифы)</v>
      </c>
      <c r="K52" s="955"/>
      <c r="AX52" s="664" t="s">
        <v>1678</v>
      </c>
      <c r="AZ52" s="664" t="s">
        <v>1220</v>
      </c>
      <c r="BE52" s="664">
        <v>2050</v>
      </c>
      <c r="BH52" s="629" t="s">
        <v>1653</v>
      </c>
      <c r="BJ52" s="708" t="s">
        <v>1052</v>
      </c>
      <c r="BL52" s="708" t="s">
        <v>1052</v>
      </c>
    </row>
    <row r="53" spans="1:64" ht="11.25" customHeight="1">
      <c r="A53" s="34" t="s">
        <v>1679</v>
      </c>
      <c r="E53" s="233" t="s">
        <v>1680</v>
      </c>
      <c r="F53" s="660" t="s">
        <v>1680</v>
      </c>
      <c r="G53" s="661" t="str">
        <f>IFERROR(IF(f_year="","01.01."&amp;CURRENT_YEAR,"01.01."&amp;f_year),"01.01."&amp;CURRENT_YEAR)</f>
        <v>01.01.2024</v>
      </c>
      <c r="H53" s="661" t="str">
        <f>IFERROR(IF(f_year="","31.12."&amp;CURRENT_YEAR,"31.12."&amp;f_year),"31.12."&amp;CURRENT_YEAR)</f>
        <v>31.12.2024</v>
      </c>
      <c r="I53" s="951" t="b">
        <f>IF(AND(f_year="",TITLE_DATE_FIL=""),TRUE,FALSE)</f>
        <v>0</v>
      </c>
      <c r="J53" s="954" t="s">
        <v>1681</v>
      </c>
      <c r="K53" s="955"/>
      <c r="AX53" s="664" t="s">
        <v>1682</v>
      </c>
      <c r="BE53" s="664">
        <v>2051</v>
      </c>
      <c r="BH53" s="629" t="s">
        <v>1656</v>
      </c>
      <c r="BJ53" s="708" t="s">
        <v>1629</v>
      </c>
      <c r="BL53" s="708" t="s">
        <v>1629</v>
      </c>
    </row>
    <row r="54" spans="1:64" ht="11.25" customHeight="1">
      <c r="A54" s="34" t="s">
        <v>1683</v>
      </c>
      <c r="AX54" s="664" t="s">
        <v>1684</v>
      </c>
      <c r="AZ54" s="628" t="s">
        <v>1685</v>
      </c>
      <c r="BE54" s="664">
        <v>2052</v>
      </c>
      <c r="BH54" s="629" t="s">
        <v>1662</v>
      </c>
      <c r="BJ54" s="708" t="s">
        <v>1633</v>
      </c>
      <c r="BL54" s="708" t="s">
        <v>1633</v>
      </c>
    </row>
    <row r="55" spans="1:64" ht="11.25" customHeight="1">
      <c r="A55" s="34" t="s">
        <v>1686</v>
      </c>
      <c r="AX55" s="664" t="s">
        <v>1687</v>
      </c>
      <c r="AZ55" s="664" t="s">
        <v>1222</v>
      </c>
      <c r="BE55" s="664">
        <v>2053</v>
      </c>
      <c r="BH55" s="188" t="s">
        <v>22</v>
      </c>
      <c r="BJ55" s="708" t="s">
        <v>1053</v>
      </c>
      <c r="BL55" s="708" t="s">
        <v>1053</v>
      </c>
    </row>
    <row r="56" spans="1:64" ht="11.25" customHeight="1">
      <c r="A56" s="34" t="s">
        <v>1688</v>
      </c>
      <c r="D56" s="662" t="s">
        <v>1689</v>
      </c>
      <c r="E56" s="644" t="s">
        <v>116</v>
      </c>
      <c r="F56" s="34" t="s">
        <v>1690</v>
      </c>
      <c r="AX56" s="664" t="s">
        <v>1691</v>
      </c>
      <c r="AZ56" s="664" t="s">
        <v>1248</v>
      </c>
      <c r="BE56" s="664">
        <v>2054</v>
      </c>
      <c r="BH56" s="188" t="s">
        <v>22</v>
      </c>
      <c r="BJ56" s="708" t="s">
        <v>1640</v>
      </c>
      <c r="BL56" s="708" t="s">
        <v>1640</v>
      </c>
    </row>
    <row r="57" spans="1:64" ht="11.25" customHeight="1">
      <c r="A57" s="34" t="s">
        <v>1692</v>
      </c>
      <c r="D57" s="662" t="s">
        <v>1693</v>
      </c>
      <c r="E57" s="644" t="s">
        <v>116</v>
      </c>
      <c r="F57" s="34" t="s">
        <v>1690</v>
      </c>
      <c r="AX57" s="664" t="s">
        <v>1694</v>
      </c>
      <c r="AZ57" s="664" t="s">
        <v>1283</v>
      </c>
      <c r="BE57" s="664">
        <v>2055</v>
      </c>
      <c r="BJ57" s="708" t="s">
        <v>1649</v>
      </c>
      <c r="BL57" s="708" t="s">
        <v>1649</v>
      </c>
    </row>
    <row r="58" spans="1:64" ht="11.25" customHeight="1">
      <c r="A58" s="34" t="s">
        <v>1695</v>
      </c>
      <c r="D58" s="662" t="s">
        <v>1696</v>
      </c>
      <c r="E58" s="644" t="s">
        <v>116</v>
      </c>
      <c r="F58" s="34" t="s">
        <v>1690</v>
      </c>
      <c r="AX58" s="664" t="s">
        <v>1697</v>
      </c>
      <c r="BE58" s="664">
        <v>2056</v>
      </c>
      <c r="BJ58" s="708" t="s">
        <v>1653</v>
      </c>
      <c r="BL58" s="708" t="s">
        <v>1653</v>
      </c>
    </row>
    <row r="59" spans="1:64" ht="11.25" customHeight="1">
      <c r="A59" s="34" t="s">
        <v>1698</v>
      </c>
      <c r="D59" s="662" t="s">
        <v>137</v>
      </c>
      <c r="E59" s="644" t="s">
        <v>1585</v>
      </c>
      <c r="F59" s="34" t="s">
        <v>1699</v>
      </c>
      <c r="AX59" s="664" t="s">
        <v>1700</v>
      </c>
      <c r="AZ59" s="628" t="s">
        <v>1701</v>
      </c>
      <c r="BE59" s="664">
        <v>2057</v>
      </c>
      <c r="BJ59" s="708" t="s">
        <v>1656</v>
      </c>
      <c r="BL59" s="708" t="s">
        <v>1656</v>
      </c>
    </row>
    <row r="60" spans="1:64" ht="11.25" customHeight="1">
      <c r="A60" s="34" t="s">
        <v>1702</v>
      </c>
      <c r="D60" s="662" t="s">
        <v>1703</v>
      </c>
      <c r="E60" s="644" t="s">
        <v>1585</v>
      </c>
      <c r="F60" s="34" t="s">
        <v>1699</v>
      </c>
      <c r="AX60" s="664" t="s">
        <v>1704</v>
      </c>
      <c r="AZ60" s="664" t="s">
        <v>1223</v>
      </c>
      <c r="BE60" s="664">
        <v>2058</v>
      </c>
      <c r="BJ60" s="708" t="s">
        <v>1662</v>
      </c>
      <c r="BL60" s="708" t="s">
        <v>1662</v>
      </c>
    </row>
    <row r="61" spans="1:64" ht="11.25" customHeight="1">
      <c r="A61" s="34" t="s">
        <v>1705</v>
      </c>
      <c r="D61" s="662" t="s">
        <v>1706</v>
      </c>
      <c r="E61" s="644" t="s">
        <v>1585</v>
      </c>
      <c r="F61" s="34" t="s">
        <v>1699</v>
      </c>
      <c r="AX61" s="664" t="s">
        <v>1707</v>
      </c>
      <c r="AZ61" s="664" t="s">
        <v>1249</v>
      </c>
      <c r="BE61" s="664">
        <v>2059</v>
      </c>
      <c r="BL61" s="708" t="s">
        <v>1045</v>
      </c>
    </row>
    <row r="62" spans="1:64" ht="11.25" customHeight="1">
      <c r="A62" s="34" t="s">
        <v>1708</v>
      </c>
      <c r="D62" s="662" t="s">
        <v>136</v>
      </c>
      <c r="E62" s="644">
        <v>30</v>
      </c>
      <c r="F62" s="34" t="s">
        <v>1699</v>
      </c>
      <c r="AZ62" s="664" t="s">
        <v>1284</v>
      </c>
      <c r="BE62" s="664">
        <v>2060</v>
      </c>
      <c r="BL62" s="708" t="s">
        <v>1047</v>
      </c>
    </row>
    <row r="63" spans="1:64" ht="11.25" customHeight="1">
      <c r="A63" s="34" t="s">
        <v>1709</v>
      </c>
      <c r="D63" s="662" t="s">
        <v>1710</v>
      </c>
      <c r="E63" s="644">
        <v>30</v>
      </c>
      <c r="F63" s="34" t="s">
        <v>1699</v>
      </c>
      <c r="AZ63" s="664" t="s">
        <v>1315</v>
      </c>
      <c r="BE63" s="664">
        <v>2061</v>
      </c>
    </row>
    <row r="64" spans="1:64" ht="11.25" customHeight="1">
      <c r="A64" s="34" t="s">
        <v>1711</v>
      </c>
      <c r="D64" s="662" t="s">
        <v>1712</v>
      </c>
      <c r="E64" s="644">
        <v>30</v>
      </c>
      <c r="F64" s="34" t="s">
        <v>1699</v>
      </c>
      <c r="AZ64" s="664" t="s">
        <v>1338</v>
      </c>
      <c r="BE64" s="664">
        <v>2062</v>
      </c>
    </row>
    <row r="65" spans="1:66" ht="11.25" customHeight="1">
      <c r="A65" s="34" t="s">
        <v>16</v>
      </c>
      <c r="D65" s="34"/>
      <c r="BE65" s="664">
        <v>2063</v>
      </c>
    </row>
    <row r="66" spans="1:66" ht="11.25" customHeight="1">
      <c r="A66" s="34" t="s">
        <v>1713</v>
      </c>
      <c r="AZ66" s="628" t="s">
        <v>1714</v>
      </c>
      <c r="BE66" s="664">
        <v>2064</v>
      </c>
    </row>
    <row r="67" spans="1:66" ht="11.25" customHeight="1">
      <c r="A67" s="34" t="s">
        <v>1715</v>
      </c>
      <c r="AZ67" s="664" t="s">
        <v>1224</v>
      </c>
      <c r="BE67" s="664">
        <v>2065</v>
      </c>
    </row>
    <row r="68" spans="1:66" ht="11.25" customHeight="1">
      <c r="A68" s="34" t="s">
        <v>1716</v>
      </c>
      <c r="AZ68" s="664" t="s">
        <v>1250</v>
      </c>
      <c r="BE68" s="664">
        <v>2066</v>
      </c>
      <c r="BH68" s="628" t="s">
        <v>1717</v>
      </c>
      <c r="BJ68" s="628" t="s">
        <v>1718</v>
      </c>
      <c r="BL68" s="628" t="s">
        <v>1719</v>
      </c>
      <c r="BN68" s="628" t="s">
        <v>1720</v>
      </c>
    </row>
    <row r="69" spans="1:66" ht="11.25" customHeight="1">
      <c r="A69" s="34" t="s">
        <v>1721</v>
      </c>
      <c r="AZ69" s="664" t="s">
        <v>1285</v>
      </c>
      <c r="BE69" s="664">
        <v>2067</v>
      </c>
      <c r="BH69" s="629" t="s">
        <v>1722</v>
      </c>
      <c r="BI69" s="188" t="s">
        <v>115</v>
      </c>
      <c r="BJ69" s="629" t="s">
        <v>1723</v>
      </c>
      <c r="BK69" s="188" t="s">
        <v>115</v>
      </c>
      <c r="BL69" s="629" t="s">
        <v>1724</v>
      </c>
      <c r="BM69" s="188" t="s">
        <v>115</v>
      </c>
      <c r="BN69" s="629" t="s">
        <v>1725</v>
      </c>
    </row>
    <row r="70" spans="1:66" ht="11.25" customHeight="1">
      <c r="A70" s="34" t="s">
        <v>1726</v>
      </c>
      <c r="AZ70" s="664" t="s">
        <v>1316</v>
      </c>
      <c r="BE70" s="664">
        <v>2068</v>
      </c>
      <c r="BH70" s="629" t="s">
        <v>1727</v>
      </c>
      <c r="BJ70" s="629" t="s">
        <v>1728</v>
      </c>
      <c r="BL70" s="629" t="s">
        <v>1729</v>
      </c>
      <c r="BN70" s="629" t="s">
        <v>1730</v>
      </c>
    </row>
    <row r="71" spans="1:66" ht="11.25" customHeight="1">
      <c r="A71" s="34" t="s">
        <v>1731</v>
      </c>
      <c r="AZ71" s="664" t="s">
        <v>1318</v>
      </c>
      <c r="BE71" s="664">
        <v>2069</v>
      </c>
      <c r="BH71" s="629" t="s">
        <v>1732</v>
      </c>
      <c r="BI71" s="188" t="s">
        <v>90</v>
      </c>
      <c r="BJ71" s="629" t="s">
        <v>1733</v>
      </c>
      <c r="BK71" s="188" t="s">
        <v>90</v>
      </c>
      <c r="BL71" s="629" t="s">
        <v>1734</v>
      </c>
      <c r="BM71" s="188" t="s">
        <v>90</v>
      </c>
      <c r="BN71" s="629" t="s">
        <v>1735</v>
      </c>
    </row>
    <row r="72" spans="1:66" ht="11.25" customHeight="1">
      <c r="A72" s="34" t="s">
        <v>1736</v>
      </c>
      <c r="AZ72" s="664" t="s">
        <v>19</v>
      </c>
      <c r="BE72" s="664">
        <v>2070</v>
      </c>
      <c r="BH72" s="629" t="s">
        <v>1737</v>
      </c>
      <c r="BJ72" s="629" t="s">
        <v>1737</v>
      </c>
      <c r="BL72" s="629" t="s">
        <v>1737</v>
      </c>
      <c r="BN72" s="629" t="s">
        <v>1738</v>
      </c>
    </row>
    <row r="73" spans="1:66" ht="11.25" customHeight="1">
      <c r="A73" s="34" t="s">
        <v>1739</v>
      </c>
      <c r="BH73" s="629" t="s">
        <v>1740</v>
      </c>
      <c r="BI73" s="188" t="s">
        <v>116</v>
      </c>
      <c r="BJ73" s="629" t="s">
        <v>1741</v>
      </c>
      <c r="BK73" s="188" t="s">
        <v>116</v>
      </c>
      <c r="BL73" s="629" t="s">
        <v>1742</v>
      </c>
      <c r="BM73" s="188" t="s">
        <v>116</v>
      </c>
      <c r="BN73" s="629" t="s">
        <v>1743</v>
      </c>
    </row>
    <row r="74" spans="1:66" ht="11.25" customHeight="1">
      <c r="A74" s="34" t="s">
        <v>1744</v>
      </c>
      <c r="BH74" s="629" t="s">
        <v>1745</v>
      </c>
      <c r="BJ74" s="629" t="s">
        <v>1746</v>
      </c>
      <c r="BL74" s="629" t="s">
        <v>1747</v>
      </c>
      <c r="BN74" s="629" t="s">
        <v>1748</v>
      </c>
    </row>
    <row r="75" spans="1:66" ht="11.25" customHeight="1">
      <c r="A75" s="34" t="s">
        <v>1749</v>
      </c>
      <c r="AZ75" s="628" t="s">
        <v>1750</v>
      </c>
      <c r="BH75" s="629" t="s">
        <v>1751</v>
      </c>
      <c r="BJ75" s="629" t="s">
        <v>1751</v>
      </c>
      <c r="BL75" s="629" t="s">
        <v>1751</v>
      </c>
    </row>
    <row r="76" spans="1:66" ht="11.25" customHeight="1">
      <c r="A76" s="34" t="s">
        <v>1752</v>
      </c>
      <c r="AZ76" s="664" t="s">
        <v>1233</v>
      </c>
      <c r="BH76" s="629" t="s">
        <v>1753</v>
      </c>
      <c r="BJ76" s="629" t="s">
        <v>1754</v>
      </c>
      <c r="BL76" s="629" t="s">
        <v>1755</v>
      </c>
    </row>
    <row r="77" spans="1:66" ht="11.25" customHeight="1">
      <c r="A77" s="34" t="s">
        <v>1756</v>
      </c>
      <c r="AZ77" s="664" t="s">
        <v>1260</v>
      </c>
    </row>
    <row r="78" spans="1:66" ht="11.25" customHeight="1">
      <c r="A78" s="34" t="s">
        <v>1757</v>
      </c>
      <c r="AZ78" s="664" t="s">
        <v>1292</v>
      </c>
    </row>
    <row r="79" spans="1:66" ht="11.25" customHeight="1">
      <c r="A79" s="34" t="s">
        <v>1758</v>
      </c>
      <c r="AZ79" s="664" t="s">
        <v>1322</v>
      </c>
      <c r="BH79" s="628" t="s">
        <v>1759</v>
      </c>
      <c r="BJ79" s="628" t="s">
        <v>1760</v>
      </c>
      <c r="BL79" s="628" t="s">
        <v>1761</v>
      </c>
    </row>
    <row r="80" spans="1:66" ht="11.25" customHeight="1">
      <c r="A80" s="34" t="s">
        <v>1762</v>
      </c>
      <c r="AZ80" s="664" t="s">
        <v>1343</v>
      </c>
      <c r="BH80" s="629" t="s">
        <v>1763</v>
      </c>
      <c r="BJ80" s="629" t="s">
        <v>1764</v>
      </c>
      <c r="BL80" s="629" t="s">
        <v>1765</v>
      </c>
    </row>
    <row r="81" spans="1:66" ht="11.25" customHeight="1">
      <c r="A81" s="34" t="s">
        <v>1766</v>
      </c>
      <c r="AZ81" s="664" t="s">
        <v>1360</v>
      </c>
      <c r="BH81" s="629" t="s">
        <v>1767</v>
      </c>
      <c r="BJ81" s="629" t="s">
        <v>1768</v>
      </c>
      <c r="BL81" s="629" t="s">
        <v>1769</v>
      </c>
    </row>
    <row r="82" spans="1:66" ht="11.25" customHeight="1">
      <c r="A82" s="34" t="s">
        <v>1770</v>
      </c>
      <c r="AZ82" s="664" t="s">
        <v>1375</v>
      </c>
      <c r="BH82" s="629" t="s">
        <v>1771</v>
      </c>
      <c r="BJ82" s="629" t="s">
        <v>1772</v>
      </c>
      <c r="BL82" s="629" t="s">
        <v>1773</v>
      </c>
    </row>
    <row r="83" spans="1:66" ht="11.25" customHeight="1">
      <c r="A83" s="34" t="s">
        <v>1774</v>
      </c>
      <c r="BH83" s="629" t="s">
        <v>1775</v>
      </c>
      <c r="BJ83" s="629" t="s">
        <v>1776</v>
      </c>
      <c r="BL83" s="629" t="s">
        <v>1777</v>
      </c>
    </row>
    <row r="84" spans="1:66" ht="11.25" customHeight="1">
      <c r="A84" s="34" t="s">
        <v>1778</v>
      </c>
      <c r="AZ84" s="628" t="s">
        <v>1779</v>
      </c>
    </row>
    <row r="85" spans="1:66" ht="11.25" customHeight="1">
      <c r="A85" s="1010" t="s">
        <v>1780</v>
      </c>
      <c r="AZ85" s="664" t="s">
        <v>1781</v>
      </c>
    </row>
    <row r="86" spans="1:66" ht="11.25" customHeight="1">
      <c r="A86" s="34" t="s">
        <v>1782</v>
      </c>
      <c r="AZ86" s="664" t="s">
        <v>1783</v>
      </c>
      <c r="BH86" s="628" t="s">
        <v>1784</v>
      </c>
      <c r="BJ86" s="628" t="s">
        <v>1785</v>
      </c>
      <c r="BL86" s="628" t="s">
        <v>1786</v>
      </c>
    </row>
    <row r="87" spans="1:66" ht="11.25" customHeight="1">
      <c r="A87" s="34" t="s">
        <v>1787</v>
      </c>
      <c r="AZ87" s="664" t="s">
        <v>1788</v>
      </c>
      <c r="BH87" s="629" t="s">
        <v>1789</v>
      </c>
      <c r="BJ87" s="629" t="s">
        <v>1790</v>
      </c>
      <c r="BL87" s="629" t="s">
        <v>1791</v>
      </c>
    </row>
    <row r="88" spans="1:66" ht="11.25" customHeight="1">
      <c r="A88" s="34" t="s">
        <v>1792</v>
      </c>
      <c r="AZ88"/>
      <c r="BH88" s="629" t="s">
        <v>1793</v>
      </c>
      <c r="BJ88" s="629" t="s">
        <v>1794</v>
      </c>
      <c r="BL88" s="629" t="s">
        <v>1795</v>
      </c>
    </row>
    <row r="89" spans="1:66" ht="11.25" customHeight="1">
      <c r="A89" s="34" t="s">
        <v>1796</v>
      </c>
      <c r="AZ89" s="628" t="s">
        <v>1797</v>
      </c>
    </row>
    <row r="90" spans="1:66" ht="11.25" customHeight="1">
      <c r="A90" s="34" t="s">
        <v>1798</v>
      </c>
      <c r="AZ90" s="664" t="s">
        <v>1023</v>
      </c>
    </row>
    <row r="91" spans="1:66" ht="11.25" customHeight="1">
      <c r="A91" s="34" t="s">
        <v>1799</v>
      </c>
      <c r="AZ91" s="664" t="s">
        <v>1059</v>
      </c>
      <c r="BH91" s="628" t="s">
        <v>1800</v>
      </c>
      <c r="BJ91" s="628" t="s">
        <v>1801</v>
      </c>
      <c r="BL91" s="628" t="s">
        <v>1802</v>
      </c>
    </row>
    <row r="92" spans="1:66" ht="11.25" customHeight="1">
      <c r="AZ92" s="664" t="s">
        <v>1803</v>
      </c>
      <c r="BH92" s="629" t="s">
        <v>1804</v>
      </c>
      <c r="BJ92" s="629" t="s">
        <v>1805</v>
      </c>
      <c r="BL92" s="629" t="s">
        <v>1806</v>
      </c>
    </row>
    <row r="93" spans="1:66" ht="11.25" customHeight="1">
      <c r="AZ93" s="664" t="s">
        <v>1807</v>
      </c>
      <c r="BH93" s="629" t="s">
        <v>1808</v>
      </c>
      <c r="BJ93" s="629" t="s">
        <v>1809</v>
      </c>
      <c r="BL93" s="629" t="s">
        <v>1810</v>
      </c>
    </row>
    <row r="94" spans="1:66" ht="11.25" customHeight="1">
      <c r="AZ94" s="664" t="s">
        <v>1811</v>
      </c>
    </row>
    <row r="96" spans="1:66" ht="11.25" customHeight="1">
      <c r="AZ96" s="628" t="s">
        <v>1812</v>
      </c>
      <c r="BH96" s="628" t="s">
        <v>1813</v>
      </c>
      <c r="BJ96" s="628" t="s">
        <v>1814</v>
      </c>
      <c r="BL96" s="628" t="s">
        <v>1815</v>
      </c>
      <c r="BN96" s="628" t="s">
        <v>1816</v>
      </c>
    </row>
    <row r="97" spans="52:66" ht="11.25" customHeight="1">
      <c r="AZ97" s="1026" t="s">
        <v>1817</v>
      </c>
      <c r="BA97" s="373" t="s">
        <v>1818</v>
      </c>
      <c r="BH97" s="629" t="s">
        <v>1819</v>
      </c>
      <c r="BJ97" s="629" t="s">
        <v>1820</v>
      </c>
      <c r="BL97" s="629" t="s">
        <v>1821</v>
      </c>
      <c r="BN97" s="629" t="s">
        <v>1822</v>
      </c>
    </row>
    <row r="98" spans="52:66" ht="11.25" customHeight="1">
      <c r="AZ98" s="1026" t="s">
        <v>1823</v>
      </c>
      <c r="BA98" s="373" t="s">
        <v>1824</v>
      </c>
      <c r="BH98" s="629" t="s">
        <v>1825</v>
      </c>
      <c r="BJ98" s="629" t="s">
        <v>1826</v>
      </c>
      <c r="BL98" s="629" t="s">
        <v>1827</v>
      </c>
      <c r="BN98" s="629" t="s">
        <v>1828</v>
      </c>
    </row>
    <row r="99" spans="52:66" ht="22.5" customHeight="1">
      <c r="AZ99" s="1026" t="s">
        <v>1829</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1830</v>
      </c>
      <c r="BJ99" s="629" t="s">
        <v>1831</v>
      </c>
      <c r="BL99" s="629" t="s">
        <v>1832</v>
      </c>
      <c r="BN99" s="629" t="s">
        <v>1833</v>
      </c>
    </row>
    <row r="100" spans="52:66" ht="22.5" customHeight="1">
      <c r="AZ100" s="1026" t="s">
        <v>1834</v>
      </c>
      <c r="BA100"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629" t="s">
        <v>1421</v>
      </c>
      <c r="BL100" s="629" t="s">
        <v>1421</v>
      </c>
      <c r="BN100" s="629" t="s">
        <v>1835</v>
      </c>
    </row>
    <row r="101" spans="52:66" ht="22.5" customHeight="1">
      <c r="AZ101" s="1026" t="s">
        <v>1836</v>
      </c>
      <c r="BA101" s="373" t="s">
        <v>1837</v>
      </c>
      <c r="BN101" s="629" t="s">
        <v>1838</v>
      </c>
    </row>
    <row r="102" spans="52:66" ht="22.5" customHeight="1">
      <c r="AZ102" s="1026" t="s">
        <v>1839</v>
      </c>
      <c r="BA102"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629" t="s">
        <v>1840</v>
      </c>
    </row>
    <row r="103" spans="52:66" ht="11.25" customHeight="1">
      <c r="AZ103" s="1026" t="s">
        <v>1841</v>
      </c>
      <c r="BA103" s="373" t="s">
        <v>1842</v>
      </c>
      <c r="BN103" s="629" t="s">
        <v>1843</v>
      </c>
    </row>
    <row r="104" spans="52:66" ht="11.25" customHeight="1">
      <c r="BN104" s="629" t="s">
        <v>1844</v>
      </c>
    </row>
    <row r="105" spans="52:66" ht="11.25" customHeight="1">
      <c r="AZ105" s="628" t="s">
        <v>1845</v>
      </c>
    </row>
    <row r="106" spans="52:66" ht="11.25" customHeight="1">
      <c r="AZ106" s="664" t="s">
        <v>1846</v>
      </c>
    </row>
    <row r="107" spans="52:66" ht="11.25" customHeight="1">
      <c r="AZ107" s="664" t="s">
        <v>1847</v>
      </c>
      <c r="BH107" s="628" t="s">
        <v>1848</v>
      </c>
      <c r="BJ107" s="628" t="s">
        <v>1849</v>
      </c>
      <c r="BL107" s="628" t="s">
        <v>1850</v>
      </c>
      <c r="BN107" s="628" t="s">
        <v>1851</v>
      </c>
    </row>
    <row r="108" spans="52:66" ht="11.25" customHeight="1">
      <c r="AZ108" s="664" t="s">
        <v>575</v>
      </c>
      <c r="BH108" s="629" t="s">
        <v>1852</v>
      </c>
      <c r="BJ108" s="629" t="s">
        <v>1853</v>
      </c>
      <c r="BL108" s="629" t="s">
        <v>1507</v>
      </c>
      <c r="BN108" s="629" t="s">
        <v>1854</v>
      </c>
    </row>
    <row r="109" spans="52:66" ht="11.25" customHeight="1">
      <c r="BH109" s="629" t="s">
        <v>1855</v>
      </c>
    </row>
    <row r="110" spans="52:66" ht="11.25" customHeight="1">
      <c r="AZ110" s="628" t="s">
        <v>1856</v>
      </c>
      <c r="BH110" s="629" t="s">
        <v>1855</v>
      </c>
    </row>
    <row r="111" spans="52:66" ht="11.25" customHeight="1">
      <c r="AZ111" s="1026" t="s">
        <v>1817</v>
      </c>
      <c r="BA111" s="373" t="s">
        <v>1818</v>
      </c>
    </row>
    <row r="112" spans="52:66" ht="11.25" customHeight="1">
      <c r="AZ112" s="1026" t="s">
        <v>1823</v>
      </c>
      <c r="BA112" s="373" t="s">
        <v>1824</v>
      </c>
    </row>
    <row r="113" spans="52:60" ht="22.5" customHeight="1">
      <c r="AZ113" s="1026" t="s">
        <v>1829</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6" t="s">
        <v>1834</v>
      </c>
      <c r="BA114"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628" t="s">
        <v>1857</v>
      </c>
    </row>
    <row r="115" spans="52:60" ht="22.5" customHeight="1">
      <c r="AZ115" s="1026" t="s">
        <v>1839</v>
      </c>
      <c r="BA115"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629" t="s">
        <v>1220</v>
      </c>
    </row>
    <row r="116" spans="52:60" ht="11.25" customHeight="1">
      <c r="AZ116" s="1026" t="s">
        <v>1841</v>
      </c>
      <c r="BA116" s="373" t="s">
        <v>1842</v>
      </c>
      <c r="BH116" s="629" t="s">
        <v>1246</v>
      </c>
    </row>
    <row r="117" spans="52:60" ht="11.25" customHeight="1">
      <c r="BH117" s="629" t="s">
        <v>1281</v>
      </c>
    </row>
    <row r="118" spans="52:60" ht="11.25" customHeight="1">
      <c r="BH118" s="629"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AF5D6-BCE3-65BB-35F7-A2A3FB209078}">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40625" style="254" hidden="1"/>
  </cols>
  <sheetData>
    <row r="1" spans="1:10" ht="11.25" hidden="1" customHeight="1">
      <c r="A1" s="288" t="s">
        <v>303</v>
      </c>
      <c r="J1" s="254" t="s">
        <v>14</v>
      </c>
    </row>
    <row r="2" spans="1:10" ht="22.5" hidden="1" customHeight="1">
      <c r="A2" s="289"/>
      <c r="B2" s="289"/>
      <c r="C2" s="939" t="s">
        <v>104</v>
      </c>
      <c r="D2" s="835"/>
      <c r="E2" s="217"/>
      <c r="F2" s="856"/>
      <c r="H2" s="270"/>
      <c r="J2" s="254">
        <v>0</v>
      </c>
    </row>
    <row r="3" spans="1:10" ht="11.25" hidden="1" customHeight="1">
      <c r="J3" s="254">
        <v>0</v>
      </c>
    </row>
    <row r="4" spans="1:10" ht="11.45" customHeight="1">
      <c r="A4" s="857"/>
      <c r="B4" s="857"/>
      <c r="J4" s="254">
        <v>11</v>
      </c>
    </row>
    <row r="5" spans="1:10" ht="27.4" customHeight="1">
      <c r="D5" s="11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1142"/>
      <c r="F5" s="1143"/>
      <c r="I5" s="413"/>
      <c r="J5" s="254">
        <v>26</v>
      </c>
    </row>
    <row r="6" spans="1:10" ht="18" customHeight="1">
      <c r="D6" s="1229" t="str">
        <f>IF(region_name=0,"Не определено",region_name)</f>
        <v>Республика Татарстан</v>
      </c>
      <c r="E6" s="1229"/>
      <c r="F6" s="1229"/>
      <c r="I6" s="413"/>
      <c r="J6" s="254">
        <v>17</v>
      </c>
    </row>
    <row r="7" spans="1:10" s="272" customFormat="1" ht="11.45" customHeight="1">
      <c r="A7" s="288"/>
      <c r="B7" s="288"/>
      <c r="D7" s="412"/>
      <c r="E7" s="412"/>
      <c r="F7" s="435"/>
      <c r="G7" s="412"/>
      <c r="J7" s="272">
        <v>11</v>
      </c>
    </row>
    <row r="8" spans="1:10" ht="11.25" hidden="1" customHeight="1">
      <c r="A8" s="289"/>
      <c r="B8" s="289"/>
      <c r="C8" s="10"/>
      <c r="D8" s="14"/>
      <c r="E8" s="1235"/>
      <c r="F8" s="1235"/>
      <c r="J8" s="254">
        <v>0</v>
      </c>
    </row>
    <row r="9" spans="1:10" ht="11.45" customHeight="1">
      <c r="A9" s="289"/>
      <c r="B9" s="289"/>
      <c r="C9" s="10"/>
      <c r="D9" s="1232" t="s">
        <v>304</v>
      </c>
      <c r="E9" s="1233"/>
      <c r="F9" s="1233"/>
      <c r="G9" s="1236" t="s">
        <v>305</v>
      </c>
      <c r="J9" s="254">
        <v>11</v>
      </c>
    </row>
    <row r="10" spans="1:10" ht="11.45" customHeight="1">
      <c r="A10" s="289"/>
      <c r="B10" s="289"/>
      <c r="C10" s="10"/>
      <c r="D10" s="268" t="s">
        <v>88</v>
      </c>
      <c r="E10" s="252" t="s">
        <v>306</v>
      </c>
      <c r="F10" s="252" t="s">
        <v>307</v>
      </c>
      <c r="G10" s="1237"/>
      <c r="J10" s="254">
        <v>11</v>
      </c>
    </row>
    <row r="11" spans="1:10" ht="1.1499999999999999"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028" t="str">
        <f>IF(org="","",org)</f>
        <v>ООО "Инженерные сети"</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841"/>
      <c r="J12" s="254">
        <v>23</v>
      </c>
    </row>
    <row r="13" spans="1:10" ht="19.899999999999999" customHeight="1">
      <c r="A13" s="289"/>
      <c r="B13" s="289"/>
      <c r="C13" s="10"/>
      <c r="D13" s="835">
        <v>2</v>
      </c>
      <c r="E13" s="709" t="s">
        <v>1858</v>
      </c>
      <c r="F13" s="41" t="s">
        <v>310</v>
      </c>
      <c r="G13" s="269"/>
      <c r="H13" s="841"/>
      <c r="J13" s="254">
        <v>19</v>
      </c>
    </row>
    <row r="14" spans="1:10" ht="19.899999999999999" customHeight="1">
      <c r="A14" s="289"/>
      <c r="B14" s="289"/>
      <c r="C14" s="10"/>
      <c r="D14" s="836" t="s">
        <v>712</v>
      </c>
      <c r="E14" s="323" t="s">
        <v>1859</v>
      </c>
      <c r="F14" s="217"/>
      <c r="G14" s="67" t="s">
        <v>1860</v>
      </c>
      <c r="H14" s="841"/>
      <c r="J14" s="254">
        <v>19</v>
      </c>
    </row>
    <row r="15" spans="1:10" ht="19.899999999999999" customHeight="1">
      <c r="A15" s="289"/>
      <c r="B15" s="289"/>
      <c r="C15" s="10"/>
      <c r="D15" s="836" t="s">
        <v>311</v>
      </c>
      <c r="E15" s="323" t="s">
        <v>1861</v>
      </c>
      <c r="F15" s="217"/>
      <c r="G15" s="67" t="s">
        <v>1862</v>
      </c>
      <c r="H15" s="841"/>
      <c r="J15" s="254">
        <v>19</v>
      </c>
    </row>
    <row r="16" spans="1:10" ht="24" customHeight="1">
      <c r="A16" s="289"/>
      <c r="B16" s="289"/>
      <c r="C16" s="10"/>
      <c r="D16" s="836" t="s">
        <v>314</v>
      </c>
      <c r="E16" s="177" t="s">
        <v>1863</v>
      </c>
      <c r="F16" s="37"/>
      <c r="G16" s="269" t="s">
        <v>1864</v>
      </c>
      <c r="H16" s="841"/>
      <c r="J16" s="254">
        <v>23</v>
      </c>
    </row>
    <row r="17" spans="1:10" ht="48.2" customHeight="1">
      <c r="A17" s="289"/>
      <c r="B17" s="289"/>
      <c r="C17" s="10"/>
      <c r="D17" s="835">
        <v>3</v>
      </c>
      <c r="E17" s="709" t="s">
        <v>1865</v>
      </c>
      <c r="F17" s="217"/>
      <c r="G17" s="269" t="s">
        <v>1866</v>
      </c>
      <c r="H17" s="841"/>
      <c r="J17" s="254">
        <v>46</v>
      </c>
    </row>
    <row r="18" spans="1:10" ht="48.2" customHeight="1">
      <c r="A18" s="817">
        <v>1</v>
      </c>
      <c r="B18" s="289"/>
      <c r="C18" s="818"/>
      <c r="D18" s="835" t="s">
        <v>91</v>
      </c>
      <c r="E18" s="709" t="s">
        <v>1867</v>
      </c>
      <c r="F18" s="217"/>
      <c r="G18" s="269" t="s">
        <v>1866</v>
      </c>
      <c r="H18" s="841"/>
      <c r="I18" s="489"/>
      <c r="J18" s="254">
        <v>46</v>
      </c>
    </row>
    <row r="19" spans="1:10" ht="23.25" customHeight="1">
      <c r="A19" s="289"/>
      <c r="B19" s="289"/>
      <c r="C19" s="10"/>
      <c r="D19" s="835" t="s">
        <v>116</v>
      </c>
      <c r="E19" s="709" t="s">
        <v>1868</v>
      </c>
      <c r="F19" s="41" t="s">
        <v>310</v>
      </c>
      <c r="G19" s="1439" t="s">
        <v>1869</v>
      </c>
      <c r="H19" s="270"/>
      <c r="J19" s="254">
        <v>22</v>
      </c>
    </row>
    <row r="20" spans="1:10" s="839" customFormat="1" ht="5.25" hidden="1" customHeight="1">
      <c r="A20" s="289"/>
      <c r="B20" s="289"/>
      <c r="C20" s="838"/>
      <c r="D20" s="837" t="s">
        <v>1120</v>
      </c>
      <c r="E20" s="594"/>
      <c r="F20" s="316"/>
      <c r="G20" s="1440"/>
      <c r="J20" s="839">
        <v>0</v>
      </c>
    </row>
    <row r="21" spans="1:10" ht="15.75" customHeight="1">
      <c r="A21" s="289"/>
      <c r="B21" s="289"/>
      <c r="C21" s="10"/>
      <c r="D21" s="263"/>
      <c r="E21" s="110" t="s">
        <v>343</v>
      </c>
      <c r="F21" s="265"/>
      <c r="G21" s="1441"/>
      <c r="H21" s="841"/>
      <c r="J21" s="254">
        <v>15</v>
      </c>
    </row>
    <row r="22" spans="1:10" s="288" customFormat="1" ht="26.25" customHeight="1">
      <c r="A22" s="289"/>
      <c r="B22" s="289"/>
      <c r="C22" s="289"/>
      <c r="D22" s="835" t="s">
        <v>92</v>
      </c>
      <c r="E22" s="269" t="s">
        <v>1870</v>
      </c>
      <c r="F22" s="217"/>
      <c r="G22" s="269" t="s">
        <v>1871</v>
      </c>
      <c r="H22" s="840"/>
      <c r="J22" s="288">
        <v>25</v>
      </c>
    </row>
    <row r="23" spans="1:10" s="288" customFormat="1" ht="19.899999999999999" customHeight="1">
      <c r="A23" s="289"/>
      <c r="B23" s="289"/>
      <c r="C23" s="289"/>
      <c r="D23" s="835" t="s">
        <v>93</v>
      </c>
      <c r="E23" s="709" t="s">
        <v>1872</v>
      </c>
      <c r="F23" s="37"/>
      <c r="G23" s="269" t="s">
        <v>1873</v>
      </c>
      <c r="H23" s="840"/>
      <c r="J23" s="288">
        <v>19</v>
      </c>
    </row>
    <row r="24" spans="1:10" s="288" customFormat="1" ht="144" hidden="1" customHeight="1">
      <c r="A24" s="289"/>
      <c r="B24" s="289"/>
      <c r="C24" s="289"/>
      <c r="D24" s="835" t="s">
        <v>117</v>
      </c>
      <c r="E24" s="10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024"/>
      <c r="G24" s="10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840"/>
      <c r="J24" s="288">
        <v>0</v>
      </c>
    </row>
    <row r="25" spans="1:10" ht="11.25" hidden="1" customHeight="1">
      <c r="A25" s="288" t="s">
        <v>82</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FDDD5-D863-624B-5931-902E23E5D3BD}">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40625" style="11" hidden="1"/>
  </cols>
  <sheetData>
    <row r="1" spans="1:255" ht="22.5" hidden="1" customHeight="1">
      <c r="F1" s="11" t="s">
        <v>1874</v>
      </c>
      <c r="G1" s="11" t="s">
        <v>48</v>
      </c>
      <c r="H1" s="11" t="s">
        <v>50</v>
      </c>
      <c r="IU1" s="11" t="s">
        <v>14</v>
      </c>
    </row>
    <row r="2" spans="1:255" ht="22.5" hidden="1" customHeight="1">
      <c r="A2" s="80"/>
      <c r="B2" s="63">
        <v>1</v>
      </c>
      <c r="C2" s="63"/>
      <c r="D2" s="1039" t="s">
        <v>104</v>
      </c>
      <c r="E2" s="41"/>
      <c r="F2" s="113"/>
      <c r="G2" s="113"/>
      <c r="H2" s="113"/>
      <c r="I2" s="1054"/>
      <c r="J2" s="1055"/>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1500000000000004" customHeight="1">
      <c r="A3" s="203"/>
      <c r="D3" s="122"/>
      <c r="F3" s="145" t="s">
        <v>83</v>
      </c>
      <c r="G3" s="122" t="s">
        <v>84</v>
      </c>
      <c r="H3" s="122"/>
      <c r="I3" s="122"/>
      <c r="J3" s="127" t="s">
        <v>85</v>
      </c>
      <c r="K3" s="145" t="s">
        <v>83</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65"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4" customHeight="1">
      <c r="A5" s="11"/>
      <c r="B5" s="63"/>
      <c r="C5" s="11"/>
      <c r="D5" s="77"/>
      <c r="E5" s="113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134"/>
      <c r="G5" s="1134"/>
      <c r="H5" s="1134"/>
      <c r="I5" s="1134"/>
      <c r="J5" s="1134"/>
      <c r="K5" s="145"/>
      <c r="L5" s="69"/>
      <c r="M5" s="69"/>
      <c r="N5" s="69"/>
      <c r="O5" s="69"/>
      <c r="P5" s="69"/>
      <c r="Q5" s="126"/>
      <c r="R5" s="126"/>
      <c r="S5" s="126"/>
      <c r="T5" s="126"/>
      <c r="IU5" s="45">
        <v>26</v>
      </c>
    </row>
    <row r="6" spans="1:255" s="45" customFormat="1" ht="14.65"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65" customHeight="1">
      <c r="A7" s="11"/>
      <c r="B7" s="63"/>
      <c r="C7" s="11"/>
      <c r="D7" s="77"/>
      <c r="E7" s="1129" t="s">
        <v>304</v>
      </c>
      <c r="F7" s="1135"/>
      <c r="G7" s="1135"/>
      <c r="H7" s="1135"/>
      <c r="I7" s="1135"/>
      <c r="J7" s="1442" t="s">
        <v>305</v>
      </c>
      <c r="K7" s="69"/>
      <c r="L7" s="69"/>
      <c r="M7" s="69"/>
      <c r="N7" s="69"/>
      <c r="O7" s="69"/>
      <c r="P7" s="69"/>
      <c r="Q7" s="126"/>
      <c r="R7" s="126"/>
      <c r="S7" s="126"/>
      <c r="T7" s="126"/>
      <c r="IU7" s="45">
        <v>14</v>
      </c>
    </row>
    <row r="8" spans="1:255" s="45" customFormat="1" ht="21" customHeight="1">
      <c r="A8" s="11"/>
      <c r="B8" s="63"/>
      <c r="C8" s="11"/>
      <c r="D8" s="77"/>
      <c r="E8" s="855" t="s">
        <v>88</v>
      </c>
      <c r="F8" s="848" t="s">
        <v>1874</v>
      </c>
      <c r="G8" s="848" t="s">
        <v>48</v>
      </c>
      <c r="H8" s="848" t="s">
        <v>50</v>
      </c>
      <c r="I8" s="848" t="s">
        <v>1875</v>
      </c>
      <c r="J8" s="1443"/>
      <c r="K8" s="69"/>
      <c r="L8" s="69"/>
      <c r="M8" s="69"/>
      <c r="N8" s="69"/>
      <c r="O8" s="69"/>
      <c r="P8" s="69"/>
      <c r="Q8" s="126"/>
      <c r="R8" s="126"/>
      <c r="S8" s="126"/>
      <c r="T8" s="126"/>
      <c r="IU8" s="45">
        <v>20</v>
      </c>
    </row>
    <row r="9" spans="1:255" ht="23.25" customHeight="1">
      <c r="B9" s="63">
        <v>1</v>
      </c>
      <c r="C9" s="63"/>
      <c r="D9" s="462"/>
      <c r="E9" s="41">
        <v>1</v>
      </c>
      <c r="F9" s="854"/>
      <c r="G9" s="113"/>
      <c r="H9" s="113"/>
      <c r="I9" s="846"/>
      <c r="J9" s="119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1876</v>
      </c>
      <c r="G10" s="850"/>
      <c r="H10" s="850"/>
      <c r="I10" s="1025"/>
      <c r="J10" s="1194"/>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65"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1499999999999999"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82</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B4222-E459-6C51-310F-5D73B2580BA1}">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104</v>
      </c>
      <c r="E2" s="389"/>
      <c r="F2" s="1021" t="str">
        <f>IF(ROIV_INFO_NAME="","",ROIV_INFO_NAME)</f>
        <v>ООО "Инженерные сети"</v>
      </c>
      <c r="G2" s="1033"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4"/>
      <c r="G5" s="1134"/>
      <c r="H5" s="1134"/>
      <c r="I5" s="1134"/>
      <c r="J5" s="1134"/>
      <c r="K5" s="1134"/>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9" t="s">
        <v>304</v>
      </c>
      <c r="F7" s="1135"/>
      <c r="G7" s="1135"/>
      <c r="H7" s="1135"/>
      <c r="I7" s="1135"/>
      <c r="J7" s="1135"/>
      <c r="K7" s="1135"/>
      <c r="L7" s="1442" t="s">
        <v>305</v>
      </c>
      <c r="M7" s="69"/>
      <c r="N7" s="69"/>
      <c r="O7" s="69"/>
      <c r="P7" s="69"/>
      <c r="Q7" s="69"/>
      <c r="R7" s="69"/>
      <c r="S7" s="126"/>
      <c r="T7" s="126"/>
      <c r="U7" s="126"/>
      <c r="V7" s="126"/>
      <c r="IW7" s="45">
        <v>14</v>
      </c>
    </row>
    <row r="8" spans="1:257" s="45" customFormat="1" ht="67.150000000000006" customHeight="1">
      <c r="A8" s="11"/>
      <c r="B8" s="63"/>
      <c r="C8" s="11"/>
      <c r="D8" s="77"/>
      <c r="E8" s="1446" t="s">
        <v>88</v>
      </c>
      <c r="F8" s="144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144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1449"/>
      <c r="I8" s="1450"/>
      <c r="J8" s="144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144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44"/>
      <c r="M8" s="69"/>
      <c r="N8" s="69"/>
      <c r="O8" s="69"/>
      <c r="P8" s="69"/>
      <c r="Q8" s="69"/>
      <c r="R8" s="69"/>
      <c r="S8" s="126"/>
      <c r="T8" s="126"/>
      <c r="U8" s="126"/>
      <c r="V8" s="126"/>
      <c r="IW8" s="45">
        <v>64</v>
      </c>
    </row>
    <row r="9" spans="1:257" s="45" customFormat="1" ht="29.25" customHeight="1">
      <c r="A9" s="11"/>
      <c r="B9" s="63"/>
      <c r="C9" s="11"/>
      <c r="D9" s="77"/>
      <c r="E9" s="1447"/>
      <c r="F9" s="1447"/>
      <c r="G9" s="845" t="s">
        <v>1877</v>
      </c>
      <c r="H9" s="845" t="s">
        <v>1878</v>
      </c>
      <c r="I9" s="845" t="s">
        <v>1879</v>
      </c>
      <c r="J9" s="1447"/>
      <c r="K9" s="1447"/>
      <c r="L9" s="1443"/>
      <c r="M9" s="69"/>
      <c r="N9" s="69"/>
      <c r="O9" s="69"/>
      <c r="P9" s="69"/>
      <c r="Q9" s="69"/>
      <c r="R9" s="69"/>
      <c r="S9" s="126"/>
      <c r="T9" s="126"/>
      <c r="U9" s="126"/>
      <c r="V9" s="126"/>
      <c r="IW9" s="45">
        <v>28</v>
      </c>
    </row>
    <row r="10" spans="1:257" ht="23.25" customHeight="1">
      <c r="A10" s="1132"/>
      <c r="B10" s="63">
        <v>1</v>
      </c>
      <c r="C10" s="63"/>
      <c r="D10" s="461"/>
      <c r="E10" s="447">
        <v>1</v>
      </c>
      <c r="F10" s="847" t="str">
        <f>IF(ROIV_INFO_NAME="","",ROIV_INFO_NAME)</f>
        <v>ООО "Инженерные сети"</v>
      </c>
      <c r="G10" s="941" t="s">
        <v>22</v>
      </c>
      <c r="H10" s="1032"/>
      <c r="I10" s="842"/>
      <c r="J10" s="228"/>
      <c r="K10" s="228"/>
      <c r="L10" s="142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2"/>
      <c r="C11" s="235"/>
      <c r="D11" s="462"/>
      <c r="E11" s="237"/>
      <c r="F11" s="52" t="s">
        <v>1880</v>
      </c>
      <c r="G11" s="97"/>
      <c r="H11" s="97"/>
      <c r="I11" s="97"/>
      <c r="J11" s="97"/>
      <c r="K11" s="238"/>
      <c r="L11" s="1445"/>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7E3EC-859A-C8C2-33AE-0ECA7B2C8367}">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104</v>
      </c>
      <c r="E2" s="41"/>
      <c r="F2" s="1021" t="str">
        <f>IF(ROIV_INFO_NAME="","",ROIV_INFO_NAME)</f>
        <v>ООО "Инженерные сети"</v>
      </c>
      <c r="G2" s="941"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4"/>
      <c r="G5" s="1134"/>
      <c r="H5" s="1134"/>
      <c r="I5" s="1134"/>
      <c r="J5" s="1134"/>
      <c r="K5" s="1134"/>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9" t="s">
        <v>304</v>
      </c>
      <c r="F7" s="1135"/>
      <c r="G7" s="1135"/>
      <c r="H7" s="1135"/>
      <c r="I7" s="1135"/>
      <c r="J7" s="1135"/>
      <c r="K7" s="1135"/>
      <c r="L7" s="1442" t="s">
        <v>305</v>
      </c>
      <c r="M7" s="69"/>
      <c r="N7" s="69"/>
      <c r="O7" s="69"/>
      <c r="P7" s="69"/>
      <c r="Q7" s="69"/>
      <c r="R7" s="69"/>
      <c r="S7" s="126"/>
      <c r="T7" s="126"/>
      <c r="U7" s="126"/>
      <c r="V7" s="126"/>
      <c r="IW7" s="45">
        <v>14</v>
      </c>
    </row>
    <row r="8" spans="1:257" s="45" customFormat="1" ht="67.150000000000006" customHeight="1">
      <c r="A8" s="11"/>
      <c r="B8" s="63"/>
      <c r="C8" s="11"/>
      <c r="D8" s="77"/>
      <c r="E8" s="1446" t="s">
        <v>88</v>
      </c>
      <c r="F8" s="1446" t="s">
        <v>1881</v>
      </c>
      <c r="G8" s="1448" t="s">
        <v>1882</v>
      </c>
      <c r="H8" s="1449"/>
      <c r="I8" s="1450"/>
      <c r="J8" s="1446" t="s">
        <v>1883</v>
      </c>
      <c r="K8" s="144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44"/>
      <c r="M8" s="69"/>
      <c r="N8" s="69"/>
      <c r="O8" s="69"/>
      <c r="P8" s="69"/>
      <c r="Q8" s="69"/>
      <c r="R8" s="69"/>
      <c r="S8" s="126"/>
      <c r="T8" s="126"/>
      <c r="U8" s="126"/>
      <c r="V8" s="126"/>
      <c r="IW8" s="45">
        <v>64</v>
      </c>
    </row>
    <row r="9" spans="1:257" s="45" customFormat="1" ht="29.25" customHeight="1">
      <c r="A9" s="11"/>
      <c r="B9" s="63"/>
      <c r="C9" s="11"/>
      <c r="D9" s="77"/>
      <c r="E9" s="1447"/>
      <c r="F9" s="1447"/>
      <c r="G9" s="845" t="s">
        <v>1877</v>
      </c>
      <c r="H9" s="845" t="s">
        <v>1878</v>
      </c>
      <c r="I9" s="845" t="s">
        <v>1879</v>
      </c>
      <c r="J9" s="1447"/>
      <c r="K9" s="1447"/>
      <c r="L9" s="1443"/>
      <c r="M9" s="69"/>
      <c r="N9" s="69"/>
      <c r="O9" s="69"/>
      <c r="P9" s="69"/>
      <c r="Q9" s="69"/>
      <c r="R9" s="69"/>
      <c r="S9" s="126"/>
      <c r="T9" s="126"/>
      <c r="U9" s="126"/>
      <c r="V9" s="126"/>
      <c r="IW9" s="45">
        <v>28</v>
      </c>
    </row>
    <row r="10" spans="1:257" ht="1.1499999999999999" customHeight="1">
      <c r="A10" s="1132"/>
      <c r="B10" s="63">
        <v>1</v>
      </c>
      <c r="C10" s="63"/>
      <c r="D10" s="461"/>
      <c r="E10" s="457">
        <v>0</v>
      </c>
      <c r="F10" s="1020" t="str">
        <f>IF(ROIV_INFO_NAME="","",ROIV_INFO_NAME)</f>
        <v>ООО "Инженерные сети"</v>
      </c>
      <c r="G10" s="942" t="s">
        <v>22</v>
      </c>
      <c r="H10" s="1027"/>
      <c r="I10" s="1027"/>
      <c r="J10" s="295"/>
      <c r="K10" s="295"/>
      <c r="L10" s="142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2"/>
      <c r="C11" s="235"/>
      <c r="D11" s="462"/>
      <c r="E11" s="237"/>
      <c r="F11" s="52" t="s">
        <v>1880</v>
      </c>
      <c r="G11" s="97"/>
      <c r="H11" s="97"/>
      <c r="I11" s="97"/>
      <c r="J11" s="97"/>
      <c r="K11" s="238"/>
      <c r="L11" s="1445"/>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80713-B99A-054B-0205-CD4DC5AA6EE7}">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40625" style="11" hidden="1"/>
  </cols>
  <sheetData>
    <row r="1" spans="1:17" ht="22.5" hidden="1" customHeight="1">
      <c r="Q1" s="11" t="s">
        <v>14</v>
      </c>
    </row>
    <row r="2" spans="1:17" ht="22.5" hidden="1" customHeight="1">
      <c r="A2" s="203"/>
      <c r="B2" s="63">
        <v>1</v>
      </c>
      <c r="C2" s="63"/>
      <c r="D2" s="1039" t="s">
        <v>104</v>
      </c>
      <c r="E2" s="1148">
        <v>1</v>
      </c>
      <c r="F2" s="1314" t="str">
        <f>IF(region_name="","",region_name)</f>
        <v>Республика Татарстан</v>
      </c>
      <c r="G2" s="1459"/>
      <c r="H2" s="1460"/>
      <c r="I2" s="269"/>
      <c r="J2" s="389">
        <v>1</v>
      </c>
      <c r="K2" s="217"/>
      <c r="L2" s="217"/>
      <c r="M2" s="217"/>
      <c r="N2" s="282"/>
      <c r="O2" s="843"/>
      <c r="P2" s="68"/>
      <c r="Q2">
        <v>0</v>
      </c>
    </row>
    <row r="3" spans="1:17" ht="22.5" hidden="1" customHeight="1">
      <c r="A3" s="80"/>
      <c r="C3" s="63"/>
      <c r="D3" s="462"/>
      <c r="E3" s="1148"/>
      <c r="F3" s="1314"/>
      <c r="G3" s="1459"/>
      <c r="H3" s="1461"/>
      <c r="I3" s="237"/>
      <c r="J3" s="823"/>
      <c r="K3" s="823" t="s">
        <v>1884</v>
      </c>
      <c r="L3" s="851"/>
      <c r="M3" s="1036"/>
      <c r="N3" s="1029"/>
      <c r="O3" s="843"/>
      <c r="P3" s="68"/>
      <c r="Q3">
        <v>0</v>
      </c>
    </row>
    <row r="4" spans="1:17" s="68" customFormat="1" ht="5.25" hidden="1" customHeight="1">
      <c r="A4" s="203"/>
      <c r="D4" s="122"/>
      <c r="F4" s="145" t="s">
        <v>83</v>
      </c>
      <c r="G4" s="122" t="s">
        <v>84</v>
      </c>
      <c r="H4" s="122"/>
      <c r="I4" s="122"/>
      <c r="J4" s="852"/>
      <c r="K4" s="122"/>
      <c r="L4" s="122"/>
      <c r="M4" s="122"/>
      <c r="N4" s="122"/>
      <c r="O4" s="145" t="s">
        <v>83</v>
      </c>
      <c r="P4" s="145"/>
      <c r="Q4" s="68">
        <v>0</v>
      </c>
    </row>
    <row r="5" spans="1:17" ht="22.5" hidden="1" customHeight="1">
      <c r="A5" s="203"/>
      <c r="B5" s="63">
        <v>1</v>
      </c>
      <c r="C5" s="63"/>
      <c r="D5" s="462"/>
      <c r="E5" s="1029"/>
      <c r="F5" s="1029"/>
      <c r="G5" s="1029"/>
      <c r="H5" s="1038"/>
      <c r="I5" s="1040" t="s">
        <v>104</v>
      </c>
      <c r="J5" s="399">
        <v>1</v>
      </c>
      <c r="K5" s="217"/>
      <c r="L5" s="217"/>
      <c r="M5" s="217"/>
      <c r="N5" s="282"/>
      <c r="O5" s="843"/>
      <c r="P5" s="68"/>
      <c r="Q5">
        <v>0</v>
      </c>
    </row>
    <row r="6" spans="1:17" s="45" customFormat="1" ht="14.65" customHeight="1">
      <c r="A6" s="11"/>
      <c r="B6" s="63"/>
      <c r="C6" s="11"/>
      <c r="D6" s="77"/>
      <c r="E6" s="11"/>
      <c r="F6" s="11"/>
      <c r="G6" s="11"/>
      <c r="H6" s="11"/>
      <c r="I6" s="11"/>
      <c r="J6" s="11"/>
      <c r="K6" s="11"/>
      <c r="L6" s="11"/>
      <c r="M6" s="11"/>
      <c r="N6" s="11"/>
      <c r="O6" s="145"/>
      <c r="P6" s="69"/>
      <c r="Q6" s="45">
        <v>14</v>
      </c>
    </row>
    <row r="7" spans="1:17" s="45" customFormat="1" ht="27.4" customHeight="1">
      <c r="A7" s="11"/>
      <c r="B7" s="63"/>
      <c r="C7" s="11"/>
      <c r="D7" s="77"/>
      <c r="E7" s="145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53"/>
      <c r="G7" s="1453"/>
      <c r="H7" s="1453"/>
      <c r="I7" s="1453"/>
      <c r="J7" s="1453"/>
      <c r="K7" s="1453"/>
      <c r="L7" s="1453"/>
      <c r="M7" s="1453"/>
      <c r="N7" s="80"/>
      <c r="O7" s="145"/>
      <c r="P7" s="69"/>
      <c r="Q7" s="45">
        <v>26</v>
      </c>
    </row>
    <row r="8" spans="1:17" s="45" customFormat="1" ht="14.65"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30"/>
      <c r="F9" s="1030"/>
      <c r="G9" s="1030"/>
      <c r="H9" s="1030"/>
      <c r="I9" s="1456"/>
      <c r="J9" s="1456"/>
      <c r="K9" s="1456"/>
      <c r="L9" s="1030"/>
      <c r="M9" s="1031"/>
      <c r="O9" s="346"/>
      <c r="P9" s="346"/>
      <c r="Q9" s="853">
        <v>0</v>
      </c>
    </row>
    <row r="10" spans="1:17" s="45" customFormat="1" ht="14.65" customHeight="1">
      <c r="A10" s="11"/>
      <c r="B10" s="63"/>
      <c r="C10" s="11"/>
      <c r="D10" s="77"/>
      <c r="E10" s="1148" t="s">
        <v>304</v>
      </c>
      <c r="F10" s="1148"/>
      <c r="G10" s="1148"/>
      <c r="H10" s="1148"/>
      <c r="I10" s="1148"/>
      <c r="J10" s="1148"/>
      <c r="K10" s="1148"/>
      <c r="L10" s="1148"/>
      <c r="M10" s="1129"/>
      <c r="N10" s="1446" t="s">
        <v>305</v>
      </c>
      <c r="O10" s="69"/>
      <c r="P10" s="69"/>
      <c r="Q10" s="45">
        <v>14</v>
      </c>
    </row>
    <row r="11" spans="1:17" s="45" customFormat="1" ht="44.25" customHeight="1">
      <c r="A11" s="11"/>
      <c r="B11" s="63"/>
      <c r="C11" s="11"/>
      <c r="D11" s="77"/>
      <c r="E11" s="1455" t="s">
        <v>88</v>
      </c>
      <c r="F11" s="1455" t="s">
        <v>308</v>
      </c>
      <c r="G11" s="1455" t="s">
        <v>1885</v>
      </c>
      <c r="H11" s="1455"/>
      <c r="I11" s="1455" t="s">
        <v>1886</v>
      </c>
      <c r="J11" s="1455"/>
      <c r="K11" s="1455"/>
      <c r="L11" s="1455" t="s">
        <v>1887</v>
      </c>
      <c r="M11" s="1448" t="s">
        <v>1888</v>
      </c>
      <c r="N11" s="1454"/>
      <c r="O11" s="69"/>
      <c r="P11" s="69"/>
      <c r="Q11" s="45">
        <v>42</v>
      </c>
    </row>
    <row r="12" spans="1:17" s="45" customFormat="1" ht="29.25" customHeight="1">
      <c r="A12" s="11"/>
      <c r="B12" s="63"/>
      <c r="C12" s="11"/>
      <c r="D12" s="77"/>
      <c r="E12" s="1446"/>
      <c r="F12" s="1455"/>
      <c r="G12" s="83" t="s">
        <v>1889</v>
      </c>
      <c r="H12" s="83" t="s">
        <v>312</v>
      </c>
      <c r="I12" s="1455"/>
      <c r="J12" s="1455"/>
      <c r="K12" s="1455"/>
      <c r="L12" s="1455"/>
      <c r="M12" s="1448"/>
      <c r="N12" s="1447"/>
      <c r="O12" s="69"/>
      <c r="P12" s="69"/>
      <c r="Q12" s="45">
        <v>28</v>
      </c>
    </row>
    <row r="13" spans="1:17" ht="23.25" customHeight="1">
      <c r="A13" s="1132">
        <v>26379339</v>
      </c>
      <c r="B13" s="63">
        <v>1</v>
      </c>
      <c r="C13" s="63"/>
      <c r="D13" s="462"/>
      <c r="E13" s="1148">
        <v>1</v>
      </c>
      <c r="F13" s="1462" t="str">
        <f>IF(region_name="","",region_name)</f>
        <v>Республика Татарстан</v>
      </c>
      <c r="G13" s="1463"/>
      <c r="H13" s="1457"/>
      <c r="I13" s="269"/>
      <c r="J13" s="447">
        <v>1</v>
      </c>
      <c r="K13" s="1034"/>
      <c r="L13" s="1035"/>
      <c r="M13" s="1035"/>
      <c r="N13" s="1451" t="s">
        <v>1890</v>
      </c>
      <c r="O13" s="843"/>
      <c r="P13" s="68"/>
      <c r="Q13">
        <v>22</v>
      </c>
    </row>
    <row r="14" spans="1:17" ht="23.25" customHeight="1">
      <c r="A14" s="1132"/>
      <c r="C14" s="63"/>
      <c r="D14" s="462"/>
      <c r="E14" s="1148"/>
      <c r="F14" s="1462"/>
      <c r="G14" s="1463"/>
      <c r="H14" s="1458"/>
      <c r="I14" s="237"/>
      <c r="J14" s="823"/>
      <c r="K14" s="823" t="s">
        <v>1884</v>
      </c>
      <c r="L14" s="851"/>
      <c r="M14" s="851"/>
      <c r="N14" s="1452"/>
      <c r="O14" s="843"/>
      <c r="P14" s="68"/>
      <c r="Q14">
        <v>22</v>
      </c>
    </row>
    <row r="15" spans="1:17" ht="23.25" customHeight="1">
      <c r="A15" s="1132"/>
      <c r="C15" s="235"/>
      <c r="D15" s="462"/>
      <c r="E15" s="237"/>
      <c r="F15" s="823" t="s">
        <v>1876</v>
      </c>
      <c r="G15" s="850"/>
      <c r="H15" s="850"/>
      <c r="I15" s="97"/>
      <c r="J15" s="97"/>
      <c r="K15" s="97"/>
      <c r="L15" s="97"/>
      <c r="M15" s="97"/>
      <c r="N15" s="1452"/>
      <c r="O15" s="844"/>
      <c r="P15" s="68"/>
      <c r="Q15">
        <v>22</v>
      </c>
    </row>
    <row r="16" spans="1:17" s="45" customFormat="1" ht="21.95" customHeight="1">
      <c r="A16" s="11"/>
      <c r="B16" s="63"/>
      <c r="C16" s="11"/>
      <c r="D16" s="77"/>
      <c r="E16" s="91"/>
      <c r="F16" s="91"/>
      <c r="G16" s="91"/>
      <c r="H16" s="91"/>
      <c r="I16" s="91"/>
      <c r="J16" s="91"/>
      <c r="K16" s="91"/>
      <c r="L16" s="91"/>
      <c r="M16" s="11"/>
      <c r="N16" s="11"/>
      <c r="O16" s="69"/>
      <c r="P16" s="69"/>
      <c r="Q16" s="45">
        <v>21</v>
      </c>
    </row>
    <row r="17" spans="1:17" s="45" customFormat="1" ht="14.65" customHeight="1">
      <c r="A17" s="11"/>
      <c r="B17" s="63"/>
      <c r="C17" s="11"/>
      <c r="D17" s="77"/>
      <c r="E17" s="11"/>
      <c r="F17" s="11"/>
      <c r="G17" s="11"/>
      <c r="H17" s="11"/>
      <c r="I17" s="11"/>
      <c r="J17" s="11"/>
      <c r="K17" s="11"/>
      <c r="L17" s="11"/>
      <c r="M17" s="11"/>
      <c r="N17" s="11"/>
      <c r="O17" s="69"/>
      <c r="P17" s="69"/>
      <c r="Q17" s="45">
        <v>14</v>
      </c>
    </row>
    <row r="18" spans="1:17" s="45" customFormat="1" ht="1.1499999999999999" customHeight="1">
      <c r="A18" s="11"/>
      <c r="B18" s="63"/>
      <c r="C18" s="11"/>
      <c r="D18" s="77"/>
      <c r="E18" s="11"/>
      <c r="F18" s="11"/>
      <c r="G18" s="11"/>
      <c r="H18" s="11"/>
      <c r="I18" s="11"/>
      <c r="J18" s="11"/>
      <c r="K18" s="11"/>
      <c r="L18" s="11"/>
      <c r="M18" s="11"/>
      <c r="N18" s="11"/>
      <c r="O18" s="69"/>
      <c r="P18" s="69"/>
      <c r="Q18" s="45">
        <v>1</v>
      </c>
    </row>
    <row r="19" spans="1:17" ht="22.5" hidden="1" customHeight="1">
      <c r="A19" s="11" t="s">
        <v>82</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FBB3E-E1EF-266E-8E88-F94235D3830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4" t="s">
        <v>1891</v>
      </c>
      <c r="E5" s="1134"/>
      <c r="F5" s="1134"/>
      <c r="G5" s="1134"/>
      <c r="H5" s="1134"/>
      <c r="I5" s="156"/>
      <c r="M5" s="11">
        <v>30</v>
      </c>
    </row>
    <row r="6" spans="1:13" ht="3" hidden="1" customHeight="1">
      <c r="D6" s="7"/>
      <c r="E6" s="7"/>
      <c r="F6" s="7"/>
      <c r="G6" s="7"/>
      <c r="H6" s="7"/>
      <c r="I6" s="7"/>
      <c r="M6" s="34">
        <v>0</v>
      </c>
    </row>
    <row r="7" spans="1:13" s="46" customFormat="1" ht="14.65" customHeight="1">
      <c r="B7" s="34"/>
      <c r="C7" s="47"/>
      <c r="D7" s="48"/>
      <c r="E7" s="48"/>
      <c r="F7" s="48"/>
      <c r="G7" s="48"/>
      <c r="H7" s="435"/>
      <c r="I7" s="48"/>
      <c r="J7" s="49"/>
      <c r="M7" s="46">
        <v>14</v>
      </c>
    </row>
    <row r="8" spans="1:13" ht="14.65" customHeight="1">
      <c r="D8" s="1237" t="s">
        <v>304</v>
      </c>
      <c r="E8" s="1237"/>
      <c r="F8" s="1237"/>
      <c r="G8" s="1237"/>
      <c r="H8" s="1237"/>
      <c r="I8" s="1237" t="s">
        <v>305</v>
      </c>
      <c r="M8" s="34">
        <v>14</v>
      </c>
    </row>
    <row r="9" spans="1:13" ht="29.25" customHeight="1">
      <c r="D9" s="1237" t="s">
        <v>88</v>
      </c>
      <c r="E9" s="1237" t="s">
        <v>1892</v>
      </c>
      <c r="F9" s="1237"/>
      <c r="G9" s="1237"/>
      <c r="H9" s="1237"/>
      <c r="I9" s="1237"/>
      <c r="M9" s="34">
        <v>28</v>
      </c>
    </row>
    <row r="10" spans="1:13" ht="24" customHeight="1">
      <c r="D10" s="1237"/>
      <c r="E10" s="36" t="s">
        <v>1893</v>
      </c>
      <c r="F10" s="36" t="s">
        <v>1894</v>
      </c>
      <c r="G10" s="36" t="s">
        <v>1895</v>
      </c>
      <c r="H10" s="36" t="s">
        <v>394</v>
      </c>
      <c r="I10" s="1237"/>
      <c r="M10" s="34">
        <v>23</v>
      </c>
    </row>
    <row r="11" spans="1:13" ht="12" hidden="1" customHeight="1">
      <c r="D11" s="22" t="s">
        <v>115</v>
      </c>
      <c r="E11" s="22" t="s">
        <v>91</v>
      </c>
      <c r="F11" s="22" t="s">
        <v>116</v>
      </c>
      <c r="G11" s="22" t="s">
        <v>92</v>
      </c>
      <c r="H11" s="22" t="s">
        <v>93</v>
      </c>
      <c r="I11" s="22" t="s">
        <v>117</v>
      </c>
      <c r="M11" s="34">
        <v>0</v>
      </c>
    </row>
    <row r="12" spans="1:13" s="34" customFormat="1" ht="26.25" customHeight="1">
      <c r="A12" s="62" t="s">
        <v>90</v>
      </c>
      <c r="B12" s="34" t="s">
        <v>22</v>
      </c>
      <c r="C12" s="50"/>
      <c r="D12" s="43" t="s">
        <v>115</v>
      </c>
      <c r="E12" s="217"/>
      <c r="F12" s="217"/>
      <c r="G12" s="943" t="s">
        <v>22</v>
      </c>
      <c r="H12" s="117"/>
      <c r="I12" s="1192" t="s">
        <v>1896</v>
      </c>
      <c r="K12" s="160"/>
      <c r="L12" s="104"/>
      <c r="M12" s="34">
        <v>25</v>
      </c>
    </row>
    <row r="13" spans="1:13" ht="15.75" customHeight="1">
      <c r="A13" s="34"/>
      <c r="C13" s="34"/>
      <c r="D13" s="40"/>
      <c r="E13" s="52" t="s">
        <v>472</v>
      </c>
      <c r="F13" s="51"/>
      <c r="G13" s="51"/>
      <c r="H13" s="108"/>
      <c r="I13" s="1194"/>
      <c r="M13" s="34">
        <v>15</v>
      </c>
    </row>
    <row r="14" spans="1:13" ht="3" customHeight="1">
      <c r="A14" s="34"/>
      <c r="C14" s="34"/>
      <c r="M14" s="34">
        <v>3</v>
      </c>
    </row>
    <row r="15" spans="1:13" ht="29.25" customHeight="1">
      <c r="E15" s="1464" t="s">
        <v>1897</v>
      </c>
      <c r="F15" s="1464"/>
      <c r="G15" s="1464"/>
      <c r="H15" s="1464"/>
      <c r="M15" s="34">
        <v>28</v>
      </c>
    </row>
    <row r="16" spans="1:13" ht="14.25" hidden="1" customHeight="1">
      <c r="A16" s="46" t="s">
        <v>82</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E45C6-F7D5-A9A2-7CEE-AFA3F05225F7}">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65" t="s">
        <v>1898</v>
      </c>
      <c r="E7" s="1466"/>
      <c r="F7" s="157"/>
      <c r="J7" s="6">
        <v>22</v>
      </c>
    </row>
    <row r="8" spans="1:10" ht="3" customHeight="1">
      <c r="C8" s="25"/>
      <c r="D8" s="7"/>
      <c r="E8" s="7"/>
      <c r="J8" s="6">
        <v>3</v>
      </c>
    </row>
    <row r="9" spans="1:10" ht="16.899999999999999" customHeight="1">
      <c r="C9" s="25"/>
      <c r="D9" s="36" t="s">
        <v>88</v>
      </c>
      <c r="E9" s="41" t="s">
        <v>1899</v>
      </c>
      <c r="J9" s="6">
        <v>16</v>
      </c>
    </row>
    <row r="10" spans="1:10" ht="1.1499999999999999"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1900</v>
      </c>
      <c r="J13" s="6">
        <v>12</v>
      </c>
    </row>
    <row r="14" spans="1:10" ht="3" customHeight="1">
      <c r="J14" s="6">
        <v>3</v>
      </c>
    </row>
    <row r="15" spans="1:10" ht="23.25" customHeight="1">
      <c r="C15" s="56"/>
      <c r="D15" s="1464" t="s">
        <v>1901</v>
      </c>
      <c r="E15" s="1464"/>
      <c r="F15" s="57"/>
      <c r="G15" s="57"/>
      <c r="H15" s="57"/>
      <c r="I15" s="57"/>
      <c r="J15" s="6">
        <v>22</v>
      </c>
    </row>
    <row r="16" spans="1:10" ht="14.25" hidden="1" customHeight="1">
      <c r="A16" s="6" t="s">
        <v>82</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15772-7D24-2FC5-5CE2-0175B976B669}">
  <sheetPr>
    <tabColor rgb="FFCCCCFF"/>
    <pageSetUpPr fitToPage="1"/>
  </sheetPr>
  <dimension ref="A1:M13"/>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4" t="s">
        <v>1902</v>
      </c>
      <c r="E7" s="1134"/>
      <c r="F7" s="157"/>
      <c r="M7" s="6">
        <v>22</v>
      </c>
    </row>
    <row r="8" spans="1:13" ht="3" customHeight="1">
      <c r="C8" s="25"/>
      <c r="D8" s="7"/>
      <c r="E8" s="7"/>
      <c r="M8" s="6">
        <v>3</v>
      </c>
    </row>
    <row r="9" spans="1:13" ht="16.899999999999999" customHeight="1">
      <c r="C9" s="25"/>
      <c r="D9" s="36" t="s">
        <v>88</v>
      </c>
      <c r="E9" s="39" t="s">
        <v>291</v>
      </c>
      <c r="M9" s="6">
        <v>16</v>
      </c>
    </row>
    <row r="10" spans="1:13" ht="12.75" customHeight="1">
      <c r="C10" s="25"/>
      <c r="D10" s="22" t="s">
        <v>115</v>
      </c>
      <c r="E10" s="22" t="s">
        <v>103</v>
      </c>
      <c r="M10" s="6">
        <v>12</v>
      </c>
    </row>
    <row r="11" spans="1:13" ht="15" hidden="1" customHeight="1">
      <c r="C11" s="25"/>
      <c r="D11" s="44">
        <v>0</v>
      </c>
      <c r="E11" s="65"/>
      <c r="M11" s="6">
        <v>0</v>
      </c>
    </row>
    <row r="12" spans="1:13" ht="14.65" customHeight="1">
      <c r="C12" s="25"/>
      <c r="D12" s="40"/>
      <c r="E12" s="38" t="s">
        <v>1900</v>
      </c>
      <c r="M12" s="6">
        <v>14</v>
      </c>
    </row>
    <row r="13" spans="1:13" ht="14.25" hidden="1" customHeight="1">
      <c r="A13" s="6" t="s">
        <v>82</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71894-CF9E-4D65-C213-ECED2253F912}">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283</v>
      </c>
      <c r="M2" s="859" t="s">
        <v>284</v>
      </c>
      <c r="R2" s="859" t="s">
        <v>285</v>
      </c>
      <c r="S2" s="859" t="s">
        <v>284</v>
      </c>
      <c r="X2" s="859" t="s">
        <v>283</v>
      </c>
      <c r="Y2" s="859" t="s">
        <v>284</v>
      </c>
      <c r="AD2" s="859" t="s">
        <v>283</v>
      </c>
      <c r="AE2" s="859" t="s">
        <v>284</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4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06" t="s">
        <v>286</v>
      </c>
      <c r="E4" s="1206"/>
      <c r="F4" s="1206"/>
      <c r="G4" s="1206"/>
      <c r="H4" s="1206"/>
      <c r="I4" s="1206"/>
      <c r="J4" s="1206"/>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65" customHeight="1">
      <c r="A5" s="8"/>
      <c r="B5" s="11"/>
      <c r="C5" s="77"/>
      <c r="D5" s="1229" t="str">
        <f>IF(org=0,"Не определено",org)</f>
        <v>ООО "Инженерные сети"</v>
      </c>
      <c r="E5" s="1229"/>
      <c r="F5" s="1229"/>
      <c r="G5" s="1229"/>
      <c r="H5" s="1229"/>
      <c r="I5" s="1229"/>
      <c r="J5" s="1229"/>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65"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1499999999999999"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48" t="s">
        <v>88</v>
      </c>
      <c r="E8" s="1148" t="s">
        <v>111</v>
      </c>
      <c r="F8" s="1208" t="s">
        <v>128</v>
      </c>
      <c r="G8" s="1209"/>
      <c r="H8" s="1208" t="s">
        <v>88</v>
      </c>
      <c r="I8" s="1209"/>
      <c r="J8" s="1148" t="s">
        <v>129</v>
      </c>
      <c r="K8" s="862"/>
      <c r="L8" s="1207" t="s">
        <v>287</v>
      </c>
      <c r="M8" s="1207"/>
      <c r="N8" s="1207"/>
      <c r="O8" s="1207"/>
      <c r="P8" s="1207"/>
      <c r="Q8" s="863"/>
      <c r="R8" s="1129" t="s">
        <v>288</v>
      </c>
      <c r="S8" s="1135"/>
      <c r="T8" s="1135"/>
      <c r="U8" s="1135"/>
      <c r="V8" s="1135"/>
      <c r="W8" s="863"/>
      <c r="X8" s="1148" t="s">
        <v>289</v>
      </c>
      <c r="Y8" s="1148"/>
      <c r="Z8" s="1148"/>
      <c r="AA8" s="1148"/>
      <c r="AB8" s="1148"/>
      <c r="AC8" s="340"/>
      <c r="AD8" s="1148" t="s">
        <v>290</v>
      </c>
      <c r="AE8" s="1148"/>
      <c r="AF8" s="1148"/>
      <c r="AG8" s="1148"/>
      <c r="AH8" s="1129"/>
      <c r="AI8" s="1148" t="s">
        <v>291</v>
      </c>
      <c r="BM8">
        <v>32</v>
      </c>
    </row>
    <row r="9" spans="1:65" ht="23.25" customHeight="1">
      <c r="D9" s="1148"/>
      <c r="E9" s="1148"/>
      <c r="F9" s="1207" t="s">
        <v>89</v>
      </c>
      <c r="G9" s="1207" t="s">
        <v>134</v>
      </c>
      <c r="H9" s="1210"/>
      <c r="I9" s="1211"/>
      <c r="J9" s="1129"/>
      <c r="K9" s="864"/>
      <c r="L9" s="1148" t="s">
        <v>292</v>
      </c>
      <c r="M9" s="1129"/>
      <c r="N9" s="1208" t="s">
        <v>88</v>
      </c>
      <c r="O9" s="1209"/>
      <c r="P9" s="1148" t="s">
        <v>135</v>
      </c>
      <c r="Q9" s="862"/>
      <c r="R9" s="1148" t="s">
        <v>292</v>
      </c>
      <c r="S9" s="1129"/>
      <c r="T9" s="1208" t="s">
        <v>88</v>
      </c>
      <c r="U9" s="1209"/>
      <c r="V9" s="1148" t="s">
        <v>135</v>
      </c>
      <c r="W9" s="862"/>
      <c r="X9" s="1148" t="s">
        <v>292</v>
      </c>
      <c r="Y9" s="1129"/>
      <c r="Z9" s="1208" t="s">
        <v>88</v>
      </c>
      <c r="AA9" s="1209"/>
      <c r="AB9" s="1148" t="s">
        <v>293</v>
      </c>
      <c r="AC9" s="862"/>
      <c r="AD9" s="1148" t="s">
        <v>292</v>
      </c>
      <c r="AE9" s="1129"/>
      <c r="AF9" s="1208" t="s">
        <v>88</v>
      </c>
      <c r="AG9" s="1209"/>
      <c r="AH9" s="1129" t="s">
        <v>293</v>
      </c>
      <c r="AI9" s="1148"/>
      <c r="BM9">
        <v>22</v>
      </c>
    </row>
    <row r="10" spans="1:65" ht="24" customHeight="1">
      <c r="D10" s="1207"/>
      <c r="E10" s="1207"/>
      <c r="F10" s="1212"/>
      <c r="G10" s="1212"/>
      <c r="H10" s="1213"/>
      <c r="I10" s="1214"/>
      <c r="J10" s="1208"/>
      <c r="K10" s="864"/>
      <c r="L10" s="340" t="s">
        <v>294</v>
      </c>
      <c r="M10" s="863" t="s">
        <v>295</v>
      </c>
      <c r="N10" s="1210"/>
      <c r="O10" s="1211"/>
      <c r="P10" s="1207"/>
      <c r="Q10" s="862"/>
      <c r="R10" s="340" t="s">
        <v>294</v>
      </c>
      <c r="S10" s="863" t="s">
        <v>295</v>
      </c>
      <c r="T10" s="1210"/>
      <c r="U10" s="1211"/>
      <c r="V10" s="1207"/>
      <c r="W10" s="862"/>
      <c r="X10" s="340" t="s">
        <v>294</v>
      </c>
      <c r="Y10" s="863" t="s">
        <v>295</v>
      </c>
      <c r="Z10" s="1210"/>
      <c r="AA10" s="1211"/>
      <c r="AB10" s="1207"/>
      <c r="AC10" s="862"/>
      <c r="AD10" s="340" t="s">
        <v>294</v>
      </c>
      <c r="AE10" s="863" t="s">
        <v>295</v>
      </c>
      <c r="AF10" s="1210"/>
      <c r="AG10" s="1211"/>
      <c r="AH10" s="1208"/>
      <c r="AI10" s="1207"/>
      <c r="AK10" s="34" t="s">
        <v>296</v>
      </c>
      <c r="AL10" s="34" t="s">
        <v>136</v>
      </c>
      <c r="BM10">
        <v>23</v>
      </c>
    </row>
    <row r="11" spans="1:65" ht="15" customHeight="1">
      <c r="D11" s="1215" t="s">
        <v>115</v>
      </c>
      <c r="E11" s="1217" t="s">
        <v>297</v>
      </c>
      <c r="F11" s="1217" t="s">
        <v>298</v>
      </c>
      <c r="G11" s="1220" t="s">
        <v>19</v>
      </c>
      <c r="H11" s="885"/>
      <c r="I11" s="1222"/>
      <c r="J11" s="1176"/>
      <c r="K11" s="833"/>
      <c r="L11" s="1168"/>
      <c r="M11" s="1168"/>
      <c r="N11" s="879"/>
      <c r="O11" s="1168"/>
      <c r="P11" s="1176"/>
      <c r="Q11" s="833"/>
      <c r="R11" s="1168"/>
      <c r="S11" s="1168"/>
      <c r="T11" s="880"/>
      <c r="U11" s="1168"/>
      <c r="V11" s="1176"/>
      <c r="W11" s="804"/>
      <c r="X11" s="1168"/>
      <c r="Y11" s="1168"/>
      <c r="Z11" s="879"/>
      <c r="AA11" s="1168"/>
      <c r="AB11" s="1176"/>
      <c r="AC11" s="881"/>
      <c r="AD11" s="1168"/>
      <c r="AE11" s="1168"/>
      <c r="AF11" s="804"/>
      <c r="AG11" s="804"/>
      <c r="AH11" s="879"/>
      <c r="AI11" s="746"/>
      <c r="BM11">
        <v>14</v>
      </c>
    </row>
    <row r="12" spans="1:65" ht="14.65" customHeight="1">
      <c r="D12" s="1215"/>
      <c r="E12" s="1217"/>
      <c r="F12" s="1217"/>
      <c r="G12" s="1221"/>
      <c r="H12" s="886"/>
      <c r="I12" s="1223"/>
      <c r="J12" s="1177"/>
      <c r="K12" s="342"/>
      <c r="L12" s="1169"/>
      <c r="M12" s="1169"/>
      <c r="N12" s="33"/>
      <c r="O12" s="1169"/>
      <c r="P12" s="1177"/>
      <c r="Q12" s="383"/>
      <c r="R12" s="1169"/>
      <c r="S12" s="1169"/>
      <c r="T12" s="882"/>
      <c r="U12" s="1169"/>
      <c r="V12" s="1177"/>
      <c r="W12" s="55"/>
      <c r="X12" s="1169"/>
      <c r="Y12" s="1169"/>
      <c r="Z12" s="33"/>
      <c r="AA12" s="1169"/>
      <c r="AB12" s="1177"/>
      <c r="AC12" s="342"/>
      <c r="AD12" s="1169"/>
      <c r="AE12" s="1169"/>
      <c r="AF12" s="747"/>
      <c r="AG12" s="747"/>
      <c r="AH12" s="1226"/>
      <c r="AI12" s="1227"/>
      <c r="BM12">
        <v>14</v>
      </c>
    </row>
    <row r="13" spans="1:65" ht="14.65" customHeight="1">
      <c r="D13" s="1215"/>
      <c r="E13" s="1217"/>
      <c r="F13" s="1217"/>
      <c r="G13" s="1221"/>
      <c r="H13" s="886"/>
      <c r="I13" s="1223"/>
      <c r="J13" s="1177"/>
      <c r="K13" s="342"/>
      <c r="L13" s="1169"/>
      <c r="M13" s="1169"/>
      <c r="N13" s="33"/>
      <c r="O13" s="1169"/>
      <c r="P13" s="1177"/>
      <c r="Q13" s="383"/>
      <c r="R13" s="1169"/>
      <c r="S13" s="1169"/>
      <c r="T13" s="882"/>
      <c r="U13" s="1169"/>
      <c r="V13" s="1177"/>
      <c r="W13" s="55"/>
      <c r="X13" s="1169"/>
      <c r="Y13" s="1169"/>
      <c r="Z13" s="55"/>
      <c r="AA13" s="747"/>
      <c r="AB13" s="1226"/>
      <c r="AC13" s="1226"/>
      <c r="AD13" s="1226"/>
      <c r="AE13" s="1226"/>
      <c r="AF13" s="1226"/>
      <c r="AG13" s="1226"/>
      <c r="AH13" s="1226"/>
      <c r="AI13" s="1227"/>
      <c r="BM13">
        <v>14</v>
      </c>
    </row>
    <row r="14" spans="1:65" ht="14.65" customHeight="1">
      <c r="D14" s="1215"/>
      <c r="E14" s="1217"/>
      <c r="F14" s="1217"/>
      <c r="G14" s="1221"/>
      <c r="H14" s="886"/>
      <c r="I14" s="1223"/>
      <c r="J14" s="1177"/>
      <c r="K14" s="342"/>
      <c r="L14" s="1169"/>
      <c r="M14" s="1169"/>
      <c r="N14" s="33"/>
      <c r="O14" s="1169"/>
      <c r="P14" s="1177"/>
      <c r="Q14" s="383"/>
      <c r="R14" s="1169"/>
      <c r="S14" s="1169"/>
      <c r="T14" s="50"/>
      <c r="U14" s="883"/>
      <c r="V14" s="1226"/>
      <c r="W14" s="1226"/>
      <c r="X14" s="1226"/>
      <c r="Y14" s="1226"/>
      <c r="Z14" s="1226"/>
      <c r="AA14" s="1226"/>
      <c r="AB14" s="1226"/>
      <c r="AC14" s="1226"/>
      <c r="AD14" s="1226"/>
      <c r="AE14" s="1226"/>
      <c r="AF14" s="1226"/>
      <c r="AG14" s="1226"/>
      <c r="AH14" s="1226"/>
      <c r="AI14" s="1227"/>
      <c r="BM14">
        <v>14</v>
      </c>
    </row>
    <row r="15" spans="1:65" ht="11.45" customHeight="1">
      <c r="D15" s="1215"/>
      <c r="E15" s="1217"/>
      <c r="F15" s="1217"/>
      <c r="G15" s="1221"/>
      <c r="H15" s="887"/>
      <c r="I15" s="1223"/>
      <c r="J15" s="1177"/>
      <c r="K15" s="342"/>
      <c r="L15" s="1169"/>
      <c r="M15" s="1169"/>
      <c r="N15" s="747"/>
      <c r="O15" s="747"/>
      <c r="P15" s="1226"/>
      <c r="Q15" s="1226"/>
      <c r="R15" s="1226"/>
      <c r="S15" s="1226"/>
      <c r="T15" s="1226"/>
      <c r="U15" s="1226"/>
      <c r="V15" s="1226"/>
      <c r="W15" s="1226"/>
      <c r="X15" s="1226"/>
      <c r="Y15" s="1226"/>
      <c r="Z15" s="1226"/>
      <c r="AA15" s="1226"/>
      <c r="AB15" s="1226"/>
      <c r="AC15" s="1226"/>
      <c r="AD15" s="1226"/>
      <c r="AE15" s="1226"/>
      <c r="AF15" s="1226"/>
      <c r="AG15" s="1226"/>
      <c r="AH15" s="1226"/>
      <c r="AI15" s="1227"/>
      <c r="BM15">
        <v>11</v>
      </c>
    </row>
    <row r="16" spans="1:65" s="860" customFormat="1" ht="11.45" customHeight="1">
      <c r="D16" s="1216"/>
      <c r="E16" s="1218"/>
      <c r="F16" s="1219"/>
      <c r="G16" s="1163"/>
      <c r="H16" s="884"/>
      <c r="I16" s="888"/>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5"/>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15" t="s">
        <v>103</v>
      </c>
      <c r="E17" s="1217" t="s">
        <v>297</v>
      </c>
      <c r="F17" s="1217" t="s">
        <v>299</v>
      </c>
      <c r="G17" s="1220" t="s">
        <v>19</v>
      </c>
      <c r="H17" s="885"/>
      <c r="I17" s="1222"/>
      <c r="J17" s="1176"/>
      <c r="K17" s="833"/>
      <c r="L17" s="1168"/>
      <c r="M17" s="1168"/>
      <c r="N17" s="879"/>
      <c r="O17" s="1168"/>
      <c r="P17" s="1176"/>
      <c r="Q17" s="833"/>
      <c r="R17" s="1168"/>
      <c r="S17" s="1168"/>
      <c r="T17" s="880"/>
      <c r="U17" s="1168"/>
      <c r="V17" s="1176"/>
      <c r="W17" s="804"/>
      <c r="X17" s="1168"/>
      <c r="Y17" s="1168"/>
      <c r="Z17" s="879"/>
      <c r="AA17" s="1168"/>
      <c r="AB17" s="1176"/>
      <c r="AC17" s="881"/>
      <c r="AD17" s="1168"/>
      <c r="AE17" s="1168"/>
      <c r="AF17" s="804"/>
      <c r="AG17" s="804"/>
      <c r="AH17" s="879"/>
      <c r="AI17" s="746"/>
      <c r="BM17">
        <v>14</v>
      </c>
    </row>
    <row r="18" spans="4:65" ht="14.65" customHeight="1">
      <c r="D18" s="1215"/>
      <c r="E18" s="1217"/>
      <c r="F18" s="1217"/>
      <c r="G18" s="1221"/>
      <c r="H18" s="886"/>
      <c r="I18" s="1223"/>
      <c r="J18" s="1177"/>
      <c r="K18" s="342"/>
      <c r="L18" s="1169"/>
      <c r="M18" s="1169"/>
      <c r="N18" s="33"/>
      <c r="O18" s="1169"/>
      <c r="P18" s="1177"/>
      <c r="Q18" s="383"/>
      <c r="R18" s="1169"/>
      <c r="S18" s="1169"/>
      <c r="T18" s="882"/>
      <c r="U18" s="1169"/>
      <c r="V18" s="1177"/>
      <c r="W18" s="55"/>
      <c r="X18" s="1169"/>
      <c r="Y18" s="1169"/>
      <c r="Z18" s="33"/>
      <c r="AA18" s="1169"/>
      <c r="AB18" s="1177"/>
      <c r="AC18" s="342"/>
      <c r="AD18" s="1169"/>
      <c r="AE18" s="1169"/>
      <c r="AF18" s="747"/>
      <c r="AG18" s="747"/>
      <c r="AH18" s="1226"/>
      <c r="AI18" s="1227"/>
      <c r="BM18">
        <v>14</v>
      </c>
    </row>
    <row r="19" spans="4:65" ht="14.65" customHeight="1">
      <c r="D19" s="1215"/>
      <c r="E19" s="1217"/>
      <c r="F19" s="1217"/>
      <c r="G19" s="1221"/>
      <c r="H19" s="886"/>
      <c r="I19" s="1223"/>
      <c r="J19" s="1177"/>
      <c r="K19" s="342"/>
      <c r="L19" s="1169"/>
      <c r="M19" s="1169"/>
      <c r="N19" s="33"/>
      <c r="O19" s="1169"/>
      <c r="P19" s="1177"/>
      <c r="Q19" s="383"/>
      <c r="R19" s="1169"/>
      <c r="S19" s="1169"/>
      <c r="T19" s="882"/>
      <c r="U19" s="1169"/>
      <c r="V19" s="1177"/>
      <c r="W19" s="55"/>
      <c r="X19" s="1169"/>
      <c r="Y19" s="1169"/>
      <c r="Z19" s="55"/>
      <c r="AA19" s="747"/>
      <c r="AB19" s="1226"/>
      <c r="AC19" s="1226"/>
      <c r="AD19" s="1226"/>
      <c r="AE19" s="1226"/>
      <c r="AF19" s="1226"/>
      <c r="AG19" s="1226"/>
      <c r="AH19" s="1226"/>
      <c r="AI19" s="1227"/>
      <c r="BM19">
        <v>14</v>
      </c>
    </row>
    <row r="20" spans="4:65" ht="14.65" customHeight="1">
      <c r="D20" s="1215"/>
      <c r="E20" s="1217"/>
      <c r="F20" s="1217"/>
      <c r="G20" s="1221"/>
      <c r="H20" s="886"/>
      <c r="I20" s="1223"/>
      <c r="J20" s="1177"/>
      <c r="K20" s="342"/>
      <c r="L20" s="1169"/>
      <c r="M20" s="1169"/>
      <c r="N20" s="33"/>
      <c r="O20" s="1169"/>
      <c r="P20" s="1177"/>
      <c r="Q20" s="383"/>
      <c r="R20" s="1169"/>
      <c r="S20" s="1169"/>
      <c r="T20" s="50"/>
      <c r="U20" s="883"/>
      <c r="V20" s="1226"/>
      <c r="W20" s="1226"/>
      <c r="X20" s="1226"/>
      <c r="Y20" s="1226"/>
      <c r="Z20" s="1226"/>
      <c r="AA20" s="1226"/>
      <c r="AB20" s="1226"/>
      <c r="AC20" s="1226"/>
      <c r="AD20" s="1226"/>
      <c r="AE20" s="1226"/>
      <c r="AF20" s="1226"/>
      <c r="AG20" s="1226"/>
      <c r="AH20" s="1226"/>
      <c r="AI20" s="1227"/>
      <c r="BM20">
        <v>14</v>
      </c>
    </row>
    <row r="21" spans="4:65" ht="11.45" customHeight="1">
      <c r="D21" s="1215"/>
      <c r="E21" s="1217"/>
      <c r="F21" s="1217"/>
      <c r="G21" s="1221"/>
      <c r="H21" s="887"/>
      <c r="I21" s="1223"/>
      <c r="J21" s="1177"/>
      <c r="K21" s="342"/>
      <c r="L21" s="1169"/>
      <c r="M21" s="1169"/>
      <c r="N21" s="747"/>
      <c r="O21" s="747"/>
      <c r="P21" s="1226"/>
      <c r="Q21" s="1226"/>
      <c r="R21" s="1226"/>
      <c r="S21" s="1226"/>
      <c r="T21" s="1226"/>
      <c r="U21" s="1226"/>
      <c r="V21" s="1226"/>
      <c r="W21" s="1226"/>
      <c r="X21" s="1226"/>
      <c r="Y21" s="1226"/>
      <c r="Z21" s="1226"/>
      <c r="AA21" s="1226"/>
      <c r="AB21" s="1226"/>
      <c r="AC21" s="1226"/>
      <c r="AD21" s="1226"/>
      <c r="AE21" s="1226"/>
      <c r="AF21" s="1226"/>
      <c r="AG21" s="1226"/>
      <c r="AH21" s="1226"/>
      <c r="AI21" s="1227"/>
      <c r="BM21">
        <v>11</v>
      </c>
    </row>
    <row r="22" spans="4:65" s="860" customFormat="1" ht="11.45" customHeight="1">
      <c r="D22" s="1216"/>
      <c r="E22" s="1218"/>
      <c r="F22" s="1219"/>
      <c r="G22" s="1163"/>
      <c r="H22" s="884"/>
      <c r="I22" s="888"/>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5"/>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15" t="s">
        <v>90</v>
      </c>
      <c r="E23" s="1217" t="s">
        <v>297</v>
      </c>
      <c r="F23" s="1217" t="s">
        <v>300</v>
      </c>
      <c r="G23" s="1220" t="s">
        <v>19</v>
      </c>
      <c r="H23" s="885"/>
      <c r="I23" s="1222"/>
      <c r="J23" s="1176"/>
      <c r="K23" s="833"/>
      <c r="L23" s="1168"/>
      <c r="M23" s="1168"/>
      <c r="N23" s="879"/>
      <c r="O23" s="1168"/>
      <c r="P23" s="1176"/>
      <c r="Q23" s="833"/>
      <c r="R23" s="1168"/>
      <c r="S23" s="1168"/>
      <c r="T23" s="880"/>
      <c r="U23" s="1168"/>
      <c r="V23" s="1176"/>
      <c r="W23" s="804"/>
      <c r="X23" s="1168"/>
      <c r="Y23" s="1168"/>
      <c r="Z23" s="879"/>
      <c r="AA23" s="1168"/>
      <c r="AB23" s="1176"/>
      <c r="AC23" s="881"/>
      <c r="AD23" s="1168"/>
      <c r="AE23" s="1168"/>
      <c r="AF23" s="804"/>
      <c r="AG23" s="804"/>
      <c r="AH23" s="879"/>
      <c r="AI23" s="746"/>
      <c r="AK23" s="46" t="s">
        <v>98</v>
      </c>
      <c r="BM23">
        <v>14</v>
      </c>
    </row>
    <row r="24" spans="4:65" ht="14.65" customHeight="1">
      <c r="D24" s="1215"/>
      <c r="E24" s="1217"/>
      <c r="F24" s="1217"/>
      <c r="G24" s="1221"/>
      <c r="H24" s="886"/>
      <c r="I24" s="1223"/>
      <c r="J24" s="1177"/>
      <c r="K24" s="342"/>
      <c r="L24" s="1169"/>
      <c r="M24" s="1169"/>
      <c r="N24" s="33"/>
      <c r="O24" s="1169"/>
      <c r="P24" s="1177"/>
      <c r="Q24" s="383"/>
      <c r="R24" s="1169"/>
      <c r="S24" s="1169"/>
      <c r="T24" s="882"/>
      <c r="U24" s="1169"/>
      <c r="V24" s="1177"/>
      <c r="W24" s="55"/>
      <c r="X24" s="1169"/>
      <c r="Y24" s="1169"/>
      <c r="Z24" s="33"/>
      <c r="AA24" s="1169"/>
      <c r="AB24" s="1177"/>
      <c r="AC24" s="342"/>
      <c r="AD24" s="1169"/>
      <c r="AE24" s="1169"/>
      <c r="AF24" s="747"/>
      <c r="AG24" s="747"/>
      <c r="AH24" s="1226"/>
      <c r="AI24" s="1227"/>
      <c r="BM24">
        <v>14</v>
      </c>
    </row>
    <row r="25" spans="4:65" ht="14.65" customHeight="1">
      <c r="D25" s="1215"/>
      <c r="E25" s="1217"/>
      <c r="F25" s="1217"/>
      <c r="G25" s="1221"/>
      <c r="H25" s="886"/>
      <c r="I25" s="1223"/>
      <c r="J25" s="1177"/>
      <c r="K25" s="342"/>
      <c r="L25" s="1169"/>
      <c r="M25" s="1169"/>
      <c r="N25" s="33"/>
      <c r="O25" s="1169"/>
      <c r="P25" s="1177"/>
      <c r="Q25" s="383"/>
      <c r="R25" s="1169"/>
      <c r="S25" s="1169"/>
      <c r="T25" s="882"/>
      <c r="U25" s="1169"/>
      <c r="V25" s="1177"/>
      <c r="W25" s="55"/>
      <c r="X25" s="1169"/>
      <c r="Y25" s="1169"/>
      <c r="Z25" s="55"/>
      <c r="AA25" s="747"/>
      <c r="AB25" s="1226"/>
      <c r="AC25" s="1226"/>
      <c r="AD25" s="1226"/>
      <c r="AE25" s="1226"/>
      <c r="AF25" s="1226"/>
      <c r="AG25" s="1226"/>
      <c r="AH25" s="1226"/>
      <c r="AI25" s="1227"/>
      <c r="BM25">
        <v>14</v>
      </c>
    </row>
    <row r="26" spans="4:65" ht="14.65" customHeight="1">
      <c r="D26" s="1215"/>
      <c r="E26" s="1217"/>
      <c r="F26" s="1217"/>
      <c r="G26" s="1221"/>
      <c r="H26" s="886"/>
      <c r="I26" s="1223"/>
      <c r="J26" s="1177"/>
      <c r="K26" s="342"/>
      <c r="L26" s="1169"/>
      <c r="M26" s="1169"/>
      <c r="N26" s="33"/>
      <c r="O26" s="1169"/>
      <c r="P26" s="1177"/>
      <c r="Q26" s="383"/>
      <c r="R26" s="1169"/>
      <c r="S26" s="1169"/>
      <c r="T26" s="50"/>
      <c r="U26" s="883"/>
      <c r="V26" s="1226"/>
      <c r="W26" s="1226"/>
      <c r="X26" s="1226"/>
      <c r="Y26" s="1226"/>
      <c r="Z26" s="1226"/>
      <c r="AA26" s="1226"/>
      <c r="AB26" s="1226"/>
      <c r="AC26" s="1226"/>
      <c r="AD26" s="1226"/>
      <c r="AE26" s="1226"/>
      <c r="AF26" s="1226"/>
      <c r="AG26" s="1226"/>
      <c r="AH26" s="1226"/>
      <c r="AI26" s="1227"/>
      <c r="BM26">
        <v>14</v>
      </c>
    </row>
    <row r="27" spans="4:65" ht="11.45" customHeight="1">
      <c r="D27" s="1215"/>
      <c r="E27" s="1217"/>
      <c r="F27" s="1217"/>
      <c r="G27" s="1221"/>
      <c r="H27" s="887"/>
      <c r="I27" s="1223"/>
      <c r="J27" s="1177"/>
      <c r="K27" s="342"/>
      <c r="L27" s="1169"/>
      <c r="M27" s="1169"/>
      <c r="N27" s="747"/>
      <c r="O27" s="747"/>
      <c r="P27" s="1226"/>
      <c r="Q27" s="1226"/>
      <c r="R27" s="1226"/>
      <c r="S27" s="1226"/>
      <c r="T27" s="1226"/>
      <c r="U27" s="1226"/>
      <c r="V27" s="1226"/>
      <c r="W27" s="1226"/>
      <c r="X27" s="1226"/>
      <c r="Y27" s="1226"/>
      <c r="Z27" s="1226"/>
      <c r="AA27" s="1226"/>
      <c r="AB27" s="1226"/>
      <c r="AC27" s="1226"/>
      <c r="AD27" s="1226"/>
      <c r="AE27" s="1226"/>
      <c r="AF27" s="1226"/>
      <c r="AG27" s="1226"/>
      <c r="AH27" s="1226"/>
      <c r="AI27" s="1227"/>
      <c r="BM27">
        <v>11</v>
      </c>
    </row>
    <row r="28" spans="4:65" s="860" customFormat="1" ht="11.45" customHeight="1">
      <c r="D28" s="1216"/>
      <c r="E28" s="1218"/>
      <c r="F28" s="1219"/>
      <c r="G28" s="1163"/>
      <c r="H28" s="884"/>
      <c r="I28" s="888"/>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5"/>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15" t="s">
        <v>91</v>
      </c>
      <c r="E29" s="1217" t="s">
        <v>297</v>
      </c>
      <c r="F29" s="1217" t="s">
        <v>301</v>
      </c>
      <c r="G29" s="1220" t="s">
        <v>19</v>
      </c>
      <c r="H29" s="885"/>
      <c r="I29" s="1222"/>
      <c r="J29" s="1176"/>
      <c r="K29" s="833"/>
      <c r="L29" s="1168"/>
      <c r="M29" s="1168"/>
      <c r="N29" s="879"/>
      <c r="O29" s="1168"/>
      <c r="P29" s="1176"/>
      <c r="Q29" s="833"/>
      <c r="R29" s="1168"/>
      <c r="S29" s="1168"/>
      <c r="T29" s="880"/>
      <c r="U29" s="1168"/>
      <c r="V29" s="1176"/>
      <c r="W29" s="804"/>
      <c r="X29" s="1168"/>
      <c r="Y29" s="1168"/>
      <c r="Z29" s="879"/>
      <c r="AA29" s="1168"/>
      <c r="AB29" s="1176"/>
      <c r="AC29" s="881"/>
      <c r="AD29" s="1168"/>
      <c r="AE29" s="1168"/>
      <c r="AF29" s="804"/>
      <c r="AG29" s="804"/>
      <c r="AH29" s="879"/>
      <c r="AI29" s="746"/>
      <c r="BM29">
        <v>14</v>
      </c>
    </row>
    <row r="30" spans="4:65" ht="14.65" customHeight="1">
      <c r="D30" s="1215"/>
      <c r="E30" s="1217"/>
      <c r="F30" s="1217"/>
      <c r="G30" s="1221"/>
      <c r="H30" s="886"/>
      <c r="I30" s="1223"/>
      <c r="J30" s="1177"/>
      <c r="K30" s="342"/>
      <c r="L30" s="1169"/>
      <c r="M30" s="1169"/>
      <c r="N30" s="33"/>
      <c r="O30" s="1169"/>
      <c r="P30" s="1177"/>
      <c r="Q30" s="383"/>
      <c r="R30" s="1169"/>
      <c r="S30" s="1169"/>
      <c r="T30" s="882"/>
      <c r="U30" s="1169"/>
      <c r="V30" s="1177"/>
      <c r="W30" s="55"/>
      <c r="X30" s="1169"/>
      <c r="Y30" s="1169"/>
      <c r="Z30" s="33"/>
      <c r="AA30" s="1169"/>
      <c r="AB30" s="1177"/>
      <c r="AC30" s="342"/>
      <c r="AD30" s="1169"/>
      <c r="AE30" s="1169"/>
      <c r="AF30" s="747"/>
      <c r="AG30" s="747"/>
      <c r="AH30" s="1226"/>
      <c r="AI30" s="1227"/>
      <c r="BM30">
        <v>14</v>
      </c>
    </row>
    <row r="31" spans="4:65" ht="14.65" customHeight="1">
      <c r="D31" s="1215"/>
      <c r="E31" s="1217"/>
      <c r="F31" s="1217"/>
      <c r="G31" s="1221"/>
      <c r="H31" s="886"/>
      <c r="I31" s="1223"/>
      <c r="J31" s="1177"/>
      <c r="K31" s="342"/>
      <c r="L31" s="1169"/>
      <c r="M31" s="1169"/>
      <c r="N31" s="33"/>
      <c r="O31" s="1169"/>
      <c r="P31" s="1177"/>
      <c r="Q31" s="383"/>
      <c r="R31" s="1169"/>
      <c r="S31" s="1169"/>
      <c r="T31" s="882"/>
      <c r="U31" s="1169"/>
      <c r="V31" s="1177"/>
      <c r="W31" s="55"/>
      <c r="X31" s="1169"/>
      <c r="Y31" s="1169"/>
      <c r="Z31" s="55"/>
      <c r="AA31" s="747"/>
      <c r="AB31" s="1226"/>
      <c r="AC31" s="1226"/>
      <c r="AD31" s="1226"/>
      <c r="AE31" s="1226"/>
      <c r="AF31" s="1226"/>
      <c r="AG31" s="1226"/>
      <c r="AH31" s="1226"/>
      <c r="AI31" s="1227"/>
      <c r="BM31">
        <v>14</v>
      </c>
    </row>
    <row r="32" spans="4:65" ht="14.65" customHeight="1">
      <c r="D32" s="1215"/>
      <c r="E32" s="1217"/>
      <c r="F32" s="1217"/>
      <c r="G32" s="1221"/>
      <c r="H32" s="886"/>
      <c r="I32" s="1223"/>
      <c r="J32" s="1177"/>
      <c r="K32" s="342"/>
      <c r="L32" s="1169"/>
      <c r="M32" s="1169"/>
      <c r="N32" s="33"/>
      <c r="O32" s="1169"/>
      <c r="P32" s="1177"/>
      <c r="Q32" s="383"/>
      <c r="R32" s="1169"/>
      <c r="S32" s="1169"/>
      <c r="T32" s="50"/>
      <c r="U32" s="883"/>
      <c r="V32" s="1226"/>
      <c r="W32" s="1226"/>
      <c r="X32" s="1226"/>
      <c r="Y32" s="1226"/>
      <c r="Z32" s="1226"/>
      <c r="AA32" s="1226"/>
      <c r="AB32" s="1226"/>
      <c r="AC32" s="1226"/>
      <c r="AD32" s="1226"/>
      <c r="AE32" s="1226"/>
      <c r="AF32" s="1226"/>
      <c r="AG32" s="1226"/>
      <c r="AH32" s="1226"/>
      <c r="AI32" s="1227"/>
      <c r="BM32">
        <v>14</v>
      </c>
    </row>
    <row r="33" spans="4:65" ht="11.45" customHeight="1">
      <c r="D33" s="1215"/>
      <c r="E33" s="1217"/>
      <c r="F33" s="1217"/>
      <c r="G33" s="1221"/>
      <c r="H33" s="887"/>
      <c r="I33" s="1223"/>
      <c r="J33" s="1177"/>
      <c r="K33" s="342"/>
      <c r="L33" s="1169"/>
      <c r="M33" s="1169"/>
      <c r="N33" s="747"/>
      <c r="O33" s="747"/>
      <c r="P33" s="1226"/>
      <c r="Q33" s="1226"/>
      <c r="R33" s="1226"/>
      <c r="S33" s="1226"/>
      <c r="T33" s="1226"/>
      <c r="U33" s="1226"/>
      <c r="V33" s="1226"/>
      <c r="W33" s="1226"/>
      <c r="X33" s="1226"/>
      <c r="Y33" s="1226"/>
      <c r="Z33" s="1226"/>
      <c r="AA33" s="1226"/>
      <c r="AB33" s="1226"/>
      <c r="AC33" s="1226"/>
      <c r="AD33" s="1226"/>
      <c r="AE33" s="1226"/>
      <c r="AF33" s="1226"/>
      <c r="AG33" s="1226"/>
      <c r="AH33" s="1226"/>
      <c r="AI33" s="1227"/>
      <c r="BM33">
        <v>11</v>
      </c>
    </row>
    <row r="34" spans="4:65" s="860" customFormat="1" ht="11.45" customHeight="1">
      <c r="D34" s="1216"/>
      <c r="E34" s="1218"/>
      <c r="F34" s="1219"/>
      <c r="G34" s="1163"/>
      <c r="H34" s="884"/>
      <c r="I34" s="888"/>
      <c r="J34" s="1224"/>
      <c r="K34" s="1224"/>
      <c r="L34" s="1224"/>
      <c r="M34" s="1224"/>
      <c r="N34" s="1224"/>
      <c r="O34" s="1224"/>
      <c r="P34" s="1224"/>
      <c r="Q34" s="1224"/>
      <c r="R34" s="1224"/>
      <c r="S34" s="1224"/>
      <c r="T34" s="1224"/>
      <c r="U34" s="1224"/>
      <c r="V34" s="1224"/>
      <c r="W34" s="1224"/>
      <c r="X34" s="1224"/>
      <c r="Y34" s="1224"/>
      <c r="Z34" s="1224"/>
      <c r="AA34" s="1224"/>
      <c r="AB34" s="1224"/>
      <c r="AC34" s="1224"/>
      <c r="AD34" s="1224"/>
      <c r="AE34" s="1224"/>
      <c r="AF34" s="1224"/>
      <c r="AG34" s="1224"/>
      <c r="AH34" s="1224"/>
      <c r="AI34" s="1225"/>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15" t="s">
        <v>116</v>
      </c>
      <c r="E35" s="1217" t="s">
        <v>297</v>
      </c>
      <c r="F35" s="1217" t="s">
        <v>302</v>
      </c>
      <c r="G35" s="1220" t="s">
        <v>19</v>
      </c>
      <c r="H35" s="885"/>
      <c r="I35" s="1222"/>
      <c r="J35" s="1176"/>
      <c r="K35" s="833"/>
      <c r="L35" s="1168"/>
      <c r="M35" s="1168"/>
      <c r="N35" s="879"/>
      <c r="O35" s="1168"/>
      <c r="P35" s="1176"/>
      <c r="Q35" s="833"/>
      <c r="R35" s="1168"/>
      <c r="S35" s="1168"/>
      <c r="T35" s="880"/>
      <c r="U35" s="1168"/>
      <c r="V35" s="1176"/>
      <c r="W35" s="804"/>
      <c r="X35" s="1168"/>
      <c r="Y35" s="1168"/>
      <c r="Z35" s="879"/>
      <c r="AA35" s="1168"/>
      <c r="AB35" s="1176"/>
      <c r="AC35" s="881"/>
      <c r="AD35" s="1168"/>
      <c r="AE35" s="1168"/>
      <c r="AF35" s="804"/>
      <c r="AG35" s="804"/>
      <c r="AH35" s="879"/>
      <c r="AI35" s="746"/>
      <c r="BM35">
        <v>14</v>
      </c>
    </row>
    <row r="36" spans="4:65" ht="14.65" customHeight="1">
      <c r="D36" s="1215"/>
      <c r="E36" s="1217"/>
      <c r="F36" s="1217"/>
      <c r="G36" s="1221"/>
      <c r="H36" s="886"/>
      <c r="I36" s="1223"/>
      <c r="J36" s="1177"/>
      <c r="K36" s="342"/>
      <c r="L36" s="1169"/>
      <c r="M36" s="1169"/>
      <c r="N36" s="33"/>
      <c r="O36" s="1169"/>
      <c r="P36" s="1177"/>
      <c r="Q36" s="383"/>
      <c r="R36" s="1169"/>
      <c r="S36" s="1169"/>
      <c r="T36" s="882"/>
      <c r="U36" s="1169"/>
      <c r="V36" s="1177"/>
      <c r="W36" s="55"/>
      <c r="X36" s="1169"/>
      <c r="Y36" s="1169"/>
      <c r="Z36" s="33"/>
      <c r="AA36" s="1169"/>
      <c r="AB36" s="1177"/>
      <c r="AC36" s="342"/>
      <c r="AD36" s="1169"/>
      <c r="AE36" s="1169"/>
      <c r="AF36" s="747"/>
      <c r="AG36" s="747"/>
      <c r="AH36" s="1226"/>
      <c r="AI36" s="1227"/>
      <c r="BM36">
        <v>14</v>
      </c>
    </row>
    <row r="37" spans="4:65" ht="14.65" customHeight="1">
      <c r="D37" s="1215"/>
      <c r="E37" s="1217"/>
      <c r="F37" s="1217"/>
      <c r="G37" s="1221"/>
      <c r="H37" s="886"/>
      <c r="I37" s="1223"/>
      <c r="J37" s="1177"/>
      <c r="K37" s="342"/>
      <c r="L37" s="1169"/>
      <c r="M37" s="1169"/>
      <c r="N37" s="33"/>
      <c r="O37" s="1169"/>
      <c r="P37" s="1177"/>
      <c r="Q37" s="383"/>
      <c r="R37" s="1169"/>
      <c r="S37" s="1169"/>
      <c r="T37" s="882"/>
      <c r="U37" s="1169"/>
      <c r="V37" s="1177"/>
      <c r="W37" s="55"/>
      <c r="X37" s="1169"/>
      <c r="Y37" s="1169"/>
      <c r="Z37" s="55"/>
      <c r="AA37" s="747"/>
      <c r="AB37" s="1226"/>
      <c r="AC37" s="1226"/>
      <c r="AD37" s="1226"/>
      <c r="AE37" s="1226"/>
      <c r="AF37" s="1226"/>
      <c r="AG37" s="1226"/>
      <c r="AH37" s="1226"/>
      <c r="AI37" s="1227"/>
      <c r="BM37">
        <v>14</v>
      </c>
    </row>
    <row r="38" spans="4:65" ht="14.65" customHeight="1">
      <c r="D38" s="1215"/>
      <c r="E38" s="1217"/>
      <c r="F38" s="1217"/>
      <c r="G38" s="1221"/>
      <c r="H38" s="886"/>
      <c r="I38" s="1223"/>
      <c r="J38" s="1177"/>
      <c r="K38" s="342"/>
      <c r="L38" s="1169"/>
      <c r="M38" s="1169"/>
      <c r="N38" s="33"/>
      <c r="O38" s="1169"/>
      <c r="P38" s="1177"/>
      <c r="Q38" s="383"/>
      <c r="R38" s="1169"/>
      <c r="S38" s="1169"/>
      <c r="T38" s="50"/>
      <c r="U38" s="883"/>
      <c r="V38" s="1226"/>
      <c r="W38" s="1226"/>
      <c r="X38" s="1226"/>
      <c r="Y38" s="1226"/>
      <c r="Z38" s="1226"/>
      <c r="AA38" s="1226"/>
      <c r="AB38" s="1226"/>
      <c r="AC38" s="1226"/>
      <c r="AD38" s="1226"/>
      <c r="AE38" s="1226"/>
      <c r="AF38" s="1226"/>
      <c r="AG38" s="1226"/>
      <c r="AH38" s="1226"/>
      <c r="AI38" s="1227"/>
      <c r="BM38">
        <v>14</v>
      </c>
    </row>
    <row r="39" spans="4:65" ht="11.45" customHeight="1">
      <c r="D39" s="1215"/>
      <c r="E39" s="1217"/>
      <c r="F39" s="1217"/>
      <c r="G39" s="1221"/>
      <c r="H39" s="887"/>
      <c r="I39" s="1223"/>
      <c r="J39" s="1177"/>
      <c r="K39" s="342"/>
      <c r="L39" s="1169"/>
      <c r="M39" s="1169"/>
      <c r="N39" s="747"/>
      <c r="O39" s="747"/>
      <c r="P39" s="1226"/>
      <c r="Q39" s="1226"/>
      <c r="R39" s="1226"/>
      <c r="S39" s="1226"/>
      <c r="T39" s="1226"/>
      <c r="U39" s="1226"/>
      <c r="V39" s="1226"/>
      <c r="W39" s="1226"/>
      <c r="X39" s="1226"/>
      <c r="Y39" s="1226"/>
      <c r="Z39" s="1226"/>
      <c r="AA39" s="1226"/>
      <c r="AB39" s="1226"/>
      <c r="AC39" s="1226"/>
      <c r="AD39" s="1226"/>
      <c r="AE39" s="1226"/>
      <c r="AF39" s="1226"/>
      <c r="AG39" s="1226"/>
      <c r="AH39" s="1226"/>
      <c r="AI39" s="1227"/>
      <c r="BM39">
        <v>11</v>
      </c>
    </row>
    <row r="40" spans="4:65" s="860" customFormat="1" ht="11.45" customHeight="1">
      <c r="D40" s="1215"/>
      <c r="E40" s="1217"/>
      <c r="F40" s="1228"/>
      <c r="G40" s="1163"/>
      <c r="H40" s="884"/>
      <c r="I40" s="888"/>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5"/>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82</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81662-B7E9-A7B8-C5AB-EC7C8F2BDBD3}">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67" t="s">
        <v>1903</v>
      </c>
      <c r="C2" s="1467"/>
      <c r="D2" s="1467"/>
      <c r="E2" s="158"/>
      <c r="F2">
        <v>22</v>
      </c>
    </row>
    <row r="3" spans="1:6" ht="3" customHeight="1">
      <c r="F3">
        <v>3</v>
      </c>
    </row>
    <row r="4" spans="1:6" ht="23.25" customHeight="1">
      <c r="B4" s="218" t="s">
        <v>1904</v>
      </c>
      <c r="C4" s="218" t="s">
        <v>1905</v>
      </c>
      <c r="D4" s="218" t="s">
        <v>1906</v>
      </c>
      <c r="F4">
        <v>22</v>
      </c>
    </row>
    <row r="5" spans="1:6" ht="11.25" hidden="1" customHeight="1">
      <c r="A5" t="s">
        <v>82</v>
      </c>
      <c r="B5">
        <v>34</v>
      </c>
      <c r="C5">
        <v>85</v>
      </c>
      <c r="D5">
        <v>17</v>
      </c>
      <c r="E5">
        <v>8</v>
      </c>
      <c r="F5">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10A79-2388-2CED-04AA-4FB51B1EB5DB}">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4" customFormat="1" ht="17.25" customHeight="1">
      <c r="A2" s="984" t="s">
        <v>1907</v>
      </c>
    </row>
    <row r="4" spans="1:80" s="6" customFormat="1" ht="15" customHeight="1">
      <c r="C4" s="23"/>
      <c r="D4" s="44"/>
      <c r="E4" s="217"/>
    </row>
    <row r="6" spans="1:80" s="984" customFormat="1" ht="17.25" customHeight="1">
      <c r="A6" s="984" t="s">
        <v>1908</v>
      </c>
    </row>
    <row r="8" spans="1:80" s="6" customFormat="1" ht="17.25" customHeight="1">
      <c r="C8" s="985"/>
      <c r="D8" s="44"/>
      <c r="E8" s="37"/>
    </row>
    <row r="11" spans="1:80" s="984" customFormat="1" ht="17.25" customHeight="1">
      <c r="A11" s="984" t="s">
        <v>1909</v>
      </c>
    </row>
    <row r="13" spans="1:80" s="45" customFormat="1" ht="15" customHeight="1">
      <c r="A13" s="1133">
        <v>1</v>
      </c>
      <c r="B13" s="63"/>
      <c r="C13" s="462" t="s">
        <v>104</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133"/>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133"/>
      <c r="B15" s="63"/>
      <c r="C15" s="235"/>
      <c r="D15" s="462"/>
      <c r="E15" s="237"/>
      <c r="F15" s="88"/>
      <c r="G15" s="110" t="s">
        <v>108</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4" customFormat="1" ht="17.25" customHeight="1">
      <c r="A17" s="984" t="s">
        <v>1910</v>
      </c>
    </row>
    <row r="19" spans="1:80" ht="15" customHeight="1">
      <c r="A19" s="301"/>
      <c r="B19" s="63">
        <v>1</v>
      </c>
      <c r="C19" s="63"/>
      <c r="D19" s="461" t="s">
        <v>104</v>
      </c>
      <c r="E19" s="41"/>
      <c r="F19" s="1015">
        <f>$F$20</f>
        <v>0</v>
      </c>
      <c r="G19" s="1018"/>
      <c r="H19" s="1018"/>
      <c r="I19" s="1016"/>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4" t="s">
        <v>1911</v>
      </c>
      <c r="B21" s="984"/>
      <c r="C21" s="984"/>
      <c r="D21" s="984"/>
      <c r="E21" s="984"/>
      <c r="F21" s="984"/>
      <c r="G21" s="984"/>
      <c r="H21" s="984"/>
      <c r="I21" s="984"/>
      <c r="J21" s="984"/>
      <c r="K21" s="984"/>
      <c r="L21" s="984"/>
      <c r="M21" s="984"/>
      <c r="N21" s="984"/>
      <c r="O21" s="984"/>
      <c r="P21" s="984"/>
      <c r="Q21" s="984"/>
      <c r="R21" s="984"/>
      <c r="S21" s="984"/>
      <c r="T21" s="984"/>
      <c r="U21" s="95"/>
      <c r="V21" s="984"/>
      <c r="W21" s="984"/>
    </row>
    <row r="22" spans="1:80" ht="15" customHeight="1">
      <c r="U22" s="96"/>
    </row>
    <row r="23" spans="1:80" s="35" customFormat="1" ht="15" customHeight="1">
      <c r="A23"/>
      <c r="B23"/>
      <c r="C23" s="937" t="s">
        <v>104</v>
      </c>
      <c r="D23" s="1159" t="s">
        <v>115</v>
      </c>
      <c r="E23" s="1160"/>
      <c r="F23" s="1158" t="s">
        <v>19</v>
      </c>
      <c r="G23" s="1507"/>
      <c r="H23" s="1148">
        <v>1</v>
      </c>
      <c r="I23" s="1509" t="str">
        <f>IF(U23="","",INDEX(TERRITORY_MR_LIST,MATCH(U23,TERRITORY_LIST_ID,0)))</f>
        <v/>
      </c>
      <c r="J23" s="1158" t="s">
        <v>19</v>
      </c>
      <c r="K23" s="474"/>
      <c r="L23" s="43" t="s">
        <v>115</v>
      </c>
      <c r="M23" s="350"/>
      <c r="N23" s="82"/>
      <c r="O23" s="82"/>
      <c r="P23" s="82"/>
      <c r="Q23" s="82"/>
      <c r="R23" s="82"/>
      <c r="S23" s="82"/>
      <c r="T23" s="82"/>
      <c r="U23" s="351"/>
      <c r="V23" s="82"/>
      <c r="W23" s="82"/>
      <c r="X23" s="82"/>
      <c r="Y23" s="82" t="s">
        <v>124</v>
      </c>
      <c r="Z23" s="82">
        <v>1705000</v>
      </c>
      <c r="AA23" s="82"/>
      <c r="AB23" s="82"/>
      <c r="AC23" s="82"/>
      <c r="AD23" s="82"/>
      <c r="AE23" s="82"/>
      <c r="AF23" s="82"/>
      <c r="AG23" s="82"/>
      <c r="AH23" s="82"/>
      <c r="AI23" s="82"/>
      <c r="AJ23" s="82"/>
      <c r="AK23" s="82"/>
      <c r="AL23" s="82"/>
    </row>
    <row r="24" spans="1:80" s="35" customFormat="1" ht="15" customHeight="1">
      <c r="A24"/>
      <c r="B24"/>
      <c r="C24" s="87"/>
      <c r="D24" s="1159"/>
      <c r="E24" s="1161"/>
      <c r="F24" s="1158"/>
      <c r="G24" s="1508"/>
      <c r="H24" s="1148"/>
      <c r="I24" s="1510"/>
      <c r="J24" s="1158"/>
      <c r="K24" s="237"/>
      <c r="L24" s="88"/>
      <c r="M24" s="352" t="s">
        <v>125</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59"/>
      <c r="E25" s="1162"/>
      <c r="F25" s="1158"/>
      <c r="G25" s="237"/>
      <c r="H25" s="88"/>
      <c r="I25" s="110" t="s">
        <v>126</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4" t="s">
        <v>1912</v>
      </c>
      <c r="B27" s="984"/>
      <c r="C27" s="984"/>
      <c r="D27" s="984"/>
      <c r="E27" s="984"/>
      <c r="F27" s="984"/>
      <c r="G27" s="984"/>
      <c r="H27" s="984"/>
      <c r="I27" s="984"/>
      <c r="J27" s="984"/>
      <c r="K27" s="984"/>
      <c r="L27" s="984"/>
      <c r="M27" s="984"/>
      <c r="N27" s="984"/>
      <c r="O27" s="984"/>
      <c r="P27" s="984"/>
      <c r="Q27" s="984"/>
      <c r="R27" s="984"/>
      <c r="S27" s="984"/>
      <c r="T27" s="984"/>
      <c r="U27" s="95"/>
      <c r="V27" s="984"/>
      <c r="W27" s="984"/>
    </row>
    <row r="28" spans="1:80" ht="15" customHeight="1">
      <c r="U28" s="96"/>
    </row>
    <row r="29" spans="1:80" s="35" customFormat="1" ht="15" customHeight="1">
      <c r="A29"/>
      <c r="B29"/>
      <c r="C29" s="87"/>
      <c r="D29" s="436"/>
      <c r="E29" s="436"/>
      <c r="F29" s="436"/>
      <c r="G29" s="1511" t="s">
        <v>104</v>
      </c>
      <c r="H29" s="1128">
        <v>1</v>
      </c>
      <c r="I29" s="1512" t="str">
        <f>IF(U29="","",INDEX(TERRITORY_MR_LIST,MATCH(U29,TERRITORY_LIST_ID,0)))</f>
        <v/>
      </c>
      <c r="J29" s="1158" t="s">
        <v>19</v>
      </c>
      <c r="K29" s="474"/>
      <c r="L29" s="43" t="s">
        <v>115</v>
      </c>
      <c r="M29" s="350"/>
      <c r="N29" s="82"/>
      <c r="O29" s="82"/>
      <c r="P29" s="82"/>
      <c r="Q29" s="82"/>
      <c r="R29" s="82"/>
      <c r="S29" s="82"/>
      <c r="T29" s="82"/>
      <c r="U29" s="351"/>
      <c r="V29" s="82"/>
      <c r="W29" s="82"/>
      <c r="X29" s="82"/>
      <c r="Y29" s="82" t="s">
        <v>124</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511"/>
      <c r="H30" s="1128"/>
      <c r="I30" s="1512"/>
      <c r="J30" s="1158"/>
      <c r="K30" s="237"/>
      <c r="L30" s="88"/>
      <c r="M30" s="352" t="s">
        <v>125</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4" t="s">
        <v>1913</v>
      </c>
      <c r="B32" s="984"/>
      <c r="C32" s="984"/>
      <c r="D32" s="984"/>
      <c r="E32" s="984"/>
      <c r="F32" s="984"/>
      <c r="G32" s="984"/>
      <c r="H32" s="984"/>
      <c r="I32" s="984"/>
      <c r="J32" s="984"/>
      <c r="K32" s="984"/>
      <c r="L32" s="984"/>
      <c r="M32" s="984"/>
      <c r="N32" s="984"/>
      <c r="O32" s="984"/>
      <c r="P32" s="984"/>
      <c r="Q32" s="984"/>
      <c r="R32" s="984"/>
      <c r="S32" s="984"/>
      <c r="T32" s="984"/>
      <c r="U32" s="95"/>
      <c r="V32" s="984"/>
      <c r="W32" s="984"/>
    </row>
    <row r="33" spans="1:38" ht="15" customHeight="1">
      <c r="U33" s="96"/>
    </row>
    <row r="34" spans="1:38" s="35" customFormat="1" ht="15" customHeight="1">
      <c r="A34"/>
      <c r="B34"/>
      <c r="C34" s="87"/>
      <c r="D34" s="436"/>
      <c r="E34" s="436"/>
      <c r="F34" s="436"/>
      <c r="G34" s="436"/>
      <c r="H34" s="436"/>
      <c r="I34" s="436"/>
      <c r="J34" s="436"/>
      <c r="K34" s="981" t="s">
        <v>104</v>
      </c>
      <c r="L34" s="938" t="s">
        <v>115</v>
      </c>
      <c r="M34" s="465"/>
      <c r="N34" s="466"/>
      <c r="O34" s="82"/>
      <c r="P34" s="82"/>
      <c r="Q34" s="82"/>
      <c r="R34" s="82"/>
      <c r="S34" s="82"/>
      <c r="T34" s="82"/>
      <c r="U34" s="351"/>
      <c r="V34" s="82"/>
      <c r="W34" s="82"/>
      <c r="X34" s="82"/>
      <c r="Y34" s="82" t="s">
        <v>124</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4" customFormat="1" ht="11.25" customHeight="1">
      <c r="A37" s="984" t="s">
        <v>1914</v>
      </c>
    </row>
    <row r="38" spans="1:38" ht="11.25" customHeight="1"/>
    <row r="39" spans="1:38" s="254" customFormat="1" ht="22.5" customHeight="1">
      <c r="A39" s="495"/>
      <c r="B39" s="10"/>
      <c r="C39" s="496"/>
      <c r="D39" s="247"/>
      <c r="E39" s="497"/>
      <c r="F39" s="906"/>
      <c r="G39" s="436"/>
      <c r="H39" s="270"/>
    </row>
    <row r="40" spans="1:38" ht="11.25" customHeight="1"/>
    <row r="41" spans="1:38" s="984" customFormat="1" ht="11.25" customHeight="1">
      <c r="A41" s="984" t="s">
        <v>1915</v>
      </c>
    </row>
    <row r="42" spans="1:38" ht="11.25" customHeight="1"/>
    <row r="43" spans="1:38" s="254" customFormat="1" ht="22.5" customHeight="1">
      <c r="A43" s="10"/>
      <c r="B43" s="10"/>
      <c r="C43" s="10"/>
      <c r="D43" s="247"/>
      <c r="E43" s="497"/>
      <c r="F43" s="401"/>
      <c r="G43" s="436"/>
      <c r="H43" s="270"/>
    </row>
    <row r="44" spans="1:38" ht="11.25" customHeight="1"/>
    <row r="45" spans="1:38" s="984" customFormat="1" ht="11.25" customHeight="1">
      <c r="A45" s="984" t="s">
        <v>1916</v>
      </c>
    </row>
    <row r="46" spans="1:38" ht="11.25" customHeight="1"/>
    <row r="47" spans="1:38" s="254" customFormat="1" ht="24" customHeight="1">
      <c r="A47" s="1230" t="s">
        <v>317</v>
      </c>
      <c r="B47" s="289"/>
      <c r="C47" s="1241"/>
      <c r="D47" s="251" t="str">
        <f>A47</f>
        <v>5.1</v>
      </c>
      <c r="E47" s="249" t="s">
        <v>318</v>
      </c>
      <c r="F47" s="39" t="s">
        <v>310</v>
      </c>
      <c r="G47" s="250" t="s">
        <v>319</v>
      </c>
      <c r="H47" s="270"/>
      <c r="I47" s="489"/>
    </row>
    <row r="48" spans="1:38" s="254" customFormat="1" ht="22.5" customHeight="1">
      <c r="A48" s="1230"/>
      <c r="B48" s="289"/>
      <c r="C48" s="1241"/>
      <c r="D48" s="247" t="str">
        <f>D47&amp;".1"</f>
        <v>5.1.1</v>
      </c>
      <c r="E48" s="246" t="s">
        <v>320</v>
      </c>
      <c r="F48" s="248" t="s">
        <v>22</v>
      </c>
      <c r="G48" s="269"/>
      <c r="H48" s="270"/>
      <c r="I48" s="489"/>
    </row>
    <row r="49" spans="1:45" s="254" customFormat="1" ht="22.5" customHeight="1">
      <c r="A49" s="1230"/>
      <c r="B49" s="289"/>
      <c r="C49" s="1241"/>
      <c r="D49" s="247" t="str">
        <f>D47&amp;".2"</f>
        <v>5.1.2</v>
      </c>
      <c r="E49" s="246" t="s">
        <v>321</v>
      </c>
      <c r="F49" s="941" t="s">
        <v>22</v>
      </c>
      <c r="G49" s="250" t="s">
        <v>322</v>
      </c>
      <c r="H49" s="270"/>
      <c r="I49" s="489"/>
    </row>
    <row r="50" spans="1:45" s="254" customFormat="1" ht="22.5" customHeight="1">
      <c r="A50" s="1230"/>
      <c r="B50" s="289"/>
      <c r="C50" s="1241"/>
      <c r="D50" s="247" t="str">
        <f>D47&amp;".3"</f>
        <v>5.1.3</v>
      </c>
      <c r="E50" s="246" t="s">
        <v>323</v>
      </c>
      <c r="F50" s="248" t="s">
        <v>22</v>
      </c>
      <c r="G50" s="269"/>
      <c r="H50" s="270"/>
      <c r="I50" s="489"/>
    </row>
    <row r="51" spans="1:45" s="254" customFormat="1" ht="22.5" customHeight="1">
      <c r="A51" s="1230"/>
      <c r="B51" s="289"/>
      <c r="C51" s="1241"/>
      <c r="D51" s="247" t="str">
        <f>D47&amp;".4"</f>
        <v>5.1.4</v>
      </c>
      <c r="E51" s="246" t="s">
        <v>324</v>
      </c>
      <c r="F51" s="248" t="s">
        <v>22</v>
      </c>
      <c r="G51" s="250" t="s">
        <v>325</v>
      </c>
      <c r="H51" s="270"/>
      <c r="I51" s="489"/>
    </row>
    <row r="54" spans="1:45" s="984" customFormat="1" ht="17.25" customHeight="1">
      <c r="A54" s="984" t="s">
        <v>1917</v>
      </c>
    </row>
    <row r="56" spans="1:45" s="136" customFormat="1" ht="18.75" customHeight="1">
      <c r="A56"/>
      <c r="B56" s="34"/>
      <c r="C56" s="34"/>
      <c r="D56" s="502"/>
      <c r="E56" s="982"/>
      <c r="F56" s="504">
        <v>13</v>
      </c>
      <c r="G56" s="503"/>
      <c r="H56" s="455"/>
      <c r="I56" s="453"/>
      <c r="J56" s="296" t="s">
        <v>66</v>
      </c>
      <c r="K56" s="986" t="s">
        <v>22</v>
      </c>
      <c r="L56"/>
      <c r="M56" s="68"/>
      <c r="N56" s="68"/>
      <c r="O56" s="68"/>
      <c r="P56" s="293" t="s">
        <v>396</v>
      </c>
      <c r="Q56" s="293" t="s">
        <v>397</v>
      </c>
      <c r="R56" s="294" t="s">
        <v>398</v>
      </c>
      <c r="S56" s="68" t="s">
        <v>399</v>
      </c>
      <c r="T56" s="68"/>
      <c r="U56" s="68"/>
      <c r="V56" s="68"/>
    </row>
    <row r="58" spans="1:45" s="984" customFormat="1" ht="11.25" customHeight="1">
      <c r="A58" s="984" t="s">
        <v>1918</v>
      </c>
    </row>
    <row r="60" spans="1:45" s="11" customFormat="1" ht="14.25" customHeight="1">
      <c r="C60" s="23"/>
      <c r="D60" s="242"/>
      <c r="E60" s="402" t="s">
        <v>22</v>
      </c>
      <c r="F60" s="492"/>
      <c r="G60" s="493"/>
      <c r="H60" s="366"/>
      <c r="I60" s="366"/>
      <c r="J60" s="241"/>
      <c r="K60" s="1007"/>
      <c r="L60" s="240"/>
      <c r="M60" s="1007"/>
      <c r="N60" s="241"/>
      <c r="O60" s="1007"/>
      <c r="P60" s="241"/>
      <c r="Q60" s="1007"/>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385</v>
      </c>
      <c r="AQ60" s="69" t="s">
        <v>385</v>
      </c>
      <c r="AR60" s="68"/>
      <c r="AS60" s="68"/>
    </row>
    <row r="62" spans="1:45" s="984" customFormat="1" ht="11.25" customHeight="1">
      <c r="A62" s="984" t="s">
        <v>1919</v>
      </c>
    </row>
    <row r="64" spans="1:45" s="34" customFormat="1" ht="15" customHeight="1">
      <c r="A64" s="62" t="s">
        <v>90</v>
      </c>
      <c r="B64" s="34" t="s">
        <v>22</v>
      </c>
      <c r="C64" s="50"/>
      <c r="D64" s="43"/>
      <c r="E64" s="217"/>
      <c r="F64" s="217"/>
      <c r="G64" s="943"/>
      <c r="H64" s="986"/>
      <c r="I64" s="367"/>
      <c r="K64" s="160"/>
      <c r="L64" s="104"/>
    </row>
    <row r="66" spans="1:30" s="984" customFormat="1" ht="11.25" customHeight="1">
      <c r="A66" s="984" t="s">
        <v>1920</v>
      </c>
    </row>
    <row r="68" spans="1:30" s="11" customFormat="1" ht="14.25" customHeight="1">
      <c r="A68" s="34"/>
      <c r="B68" s="63"/>
      <c r="C68" s="28"/>
      <c r="D68" s="64"/>
      <c r="E68" s="511"/>
      <c r="F68" s="986"/>
      <c r="G68"/>
      <c r="I68" s="69"/>
      <c r="J68" s="69"/>
    </row>
    <row r="70" spans="1:30" s="984" customFormat="1" ht="11.25" customHeight="1">
      <c r="A70" s="984" t="s">
        <v>1921</v>
      </c>
    </row>
    <row r="72" spans="1:30" s="11" customFormat="1" ht="27" customHeight="1">
      <c r="A72" s="303"/>
      <c r="B72" s="303"/>
      <c r="C72" s="303"/>
      <c r="D72" s="63"/>
      <c r="E72" s="987"/>
      <c r="F72" s="1468"/>
      <c r="G72" s="1469"/>
      <c r="H72" s="1470" t="s">
        <v>66</v>
      </c>
      <c r="I72" s="1472"/>
      <c r="J72" s="1474"/>
      <c r="K72" s="1476"/>
      <c r="L72" s="1488"/>
      <c r="M72" s="1488"/>
      <c r="N72" s="1515"/>
      <c r="O72" s="1515"/>
      <c r="P72" s="1516" t="e">
        <f>DATEDIF(DATEVALUE(N72),DATEVALUE(O72),"y")&amp;"г. "&amp;DATEDIF(DATEVALUE(N72),DATEVALUE(O72),"ym")&amp;"мес. "&amp;DATEVALUE(O72)-DATE(YEAR(DATEVALUE(O72)),MONTH(DATEVALUE(O72)),1)&amp;"дн. "</f>
        <v>#VALUE!</v>
      </c>
      <c r="Q72" s="1489"/>
      <c r="R72" s="1489"/>
      <c r="S72" s="1489"/>
      <c r="T72" s="1474"/>
      <c r="U72" s="1489"/>
      <c r="V72" s="1489"/>
      <c r="W72" s="1489"/>
      <c r="X72" s="1474"/>
      <c r="Y72" s="1513" t="s">
        <v>66</v>
      </c>
      <c r="Z72" s="862"/>
      <c r="AA72" s="41">
        <v>1</v>
      </c>
      <c r="AB72" s="719"/>
      <c r="AD72" s="68" t="s">
        <v>1922</v>
      </c>
    </row>
    <row r="73" spans="1:30" s="11" customFormat="1" ht="10.5" customHeight="1">
      <c r="A73" s="303"/>
      <c r="B73" s="303"/>
      <c r="C73" s="303"/>
      <c r="D73" s="63"/>
      <c r="E73" s="544"/>
      <c r="F73" s="1468"/>
      <c r="G73" s="1469"/>
      <c r="H73" s="1471"/>
      <c r="I73" s="1473"/>
      <c r="J73" s="1475"/>
      <c r="K73" s="1476"/>
      <c r="L73" s="1488"/>
      <c r="M73" s="1488"/>
      <c r="N73" s="1515"/>
      <c r="O73" s="1515"/>
      <c r="P73" s="1516"/>
      <c r="Q73" s="1489"/>
      <c r="R73" s="1489"/>
      <c r="S73" s="1489"/>
      <c r="T73" s="1475"/>
      <c r="U73" s="1489"/>
      <c r="V73" s="1489"/>
      <c r="W73" s="1489"/>
      <c r="X73" s="1475"/>
      <c r="Y73" s="1514"/>
      <c r="Z73" s="40"/>
      <c r="AA73" s="334"/>
      <c r="AB73" s="352" t="s">
        <v>1923</v>
      </c>
    </row>
    <row r="75" spans="1:30" s="984" customFormat="1" ht="11.25" customHeight="1">
      <c r="A75" s="984" t="s">
        <v>1924</v>
      </c>
    </row>
    <row r="77" spans="1:30" s="11" customFormat="1" ht="27" customHeight="1">
      <c r="A77" s="303"/>
      <c r="B77" s="303"/>
      <c r="C77" s="303"/>
      <c r="D77" s="63"/>
      <c r="E77" s="987"/>
      <c r="F77" s="980"/>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1922</v>
      </c>
    </row>
    <row r="79" spans="1:30" s="984" customFormat="1" ht="11.25" customHeight="1">
      <c r="A79" s="984" t="s">
        <v>1925</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519"/>
      <c r="G82" s="1428"/>
      <c r="H82" s="1522" t="s">
        <v>380</v>
      </c>
      <c r="I82" s="1523"/>
      <c r="J82" s="1480"/>
      <c r="K82" s="1480"/>
      <c r="L82" s="1517"/>
      <c r="M82" s="1272"/>
      <c r="N82" s="1070"/>
      <c r="O82" s="1069"/>
      <c r="P82" s="1070"/>
      <c r="Q82" s="1070"/>
      <c r="R82" s="1070"/>
      <c r="S82" s="1070"/>
      <c r="T82" s="1070"/>
      <c r="U82" s="1070"/>
      <c r="V82" s="1070"/>
      <c r="W82" s="1070"/>
      <c r="X82" s="1070"/>
      <c r="Y82" s="1070"/>
      <c r="Z82" s="1070"/>
      <c r="AA82" s="1070"/>
      <c r="AB82" s="1070"/>
      <c r="AC82" s="1070"/>
      <c r="AD82" s="1070"/>
      <c r="AE82" s="1070"/>
      <c r="AF82" s="1521"/>
      <c r="AG82" s="1517"/>
      <c r="AH82" s="1517"/>
      <c r="AI82" s="1521"/>
      <c r="AJ82" s="1517"/>
      <c r="AK82" s="1517"/>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519"/>
      <c r="G83" s="1428"/>
      <c r="H83" s="1522"/>
      <c r="I83" s="1523"/>
      <c r="J83" s="1480"/>
      <c r="K83" s="1480"/>
      <c r="L83" s="1517"/>
      <c r="M83" s="1272"/>
      <c r="N83" s="1524"/>
      <c r="O83" s="1525"/>
      <c r="P83" s="1477"/>
      <c r="Q83" s="1480"/>
      <c r="R83" s="1480"/>
      <c r="S83" s="1480"/>
      <c r="T83" s="1480"/>
      <c r="U83" s="1480"/>
      <c r="V83" s="1480"/>
      <c r="W83" s="1480"/>
      <c r="X83" s="1480"/>
      <c r="Y83" s="1480"/>
      <c r="Z83" s="1071"/>
      <c r="AA83" s="1072"/>
      <c r="AB83" s="1072"/>
      <c r="AC83" s="1073"/>
      <c r="AD83" s="1073"/>
      <c r="AE83" s="1074"/>
      <c r="AF83" s="1521"/>
      <c r="AG83" s="1517"/>
      <c r="AH83" s="1517"/>
      <c r="AI83" s="1521"/>
      <c r="AJ83" s="1517"/>
      <c r="AK83" s="1517"/>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519"/>
      <c r="G84" s="1428"/>
      <c r="H84" s="1522"/>
      <c r="I84" s="1523"/>
      <c r="J84" s="1480"/>
      <c r="K84" s="1480"/>
      <c r="L84" s="1517"/>
      <c r="M84" s="1272"/>
      <c r="N84" s="1524"/>
      <c r="O84" s="1525"/>
      <c r="P84" s="1478"/>
      <c r="Q84" s="1480"/>
      <c r="R84" s="1480"/>
      <c r="S84" s="1480"/>
      <c r="T84" s="1480"/>
      <c r="U84" s="1480"/>
      <c r="V84" s="1480"/>
      <c r="W84" s="1480"/>
      <c r="X84" s="1480"/>
      <c r="Y84" s="1480"/>
      <c r="Z84" s="1075"/>
      <c r="AA84" s="1076"/>
      <c r="AB84" s="1077"/>
      <c r="AC84" s="1078"/>
      <c r="AD84" s="1077"/>
      <c r="AE84" s="1078"/>
      <c r="AF84" s="1521"/>
      <c r="AG84" s="1517"/>
      <c r="AH84" s="1517"/>
      <c r="AI84" s="1521"/>
      <c r="AJ84" s="1517"/>
      <c r="AK84" s="1517"/>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519"/>
      <c r="G85" s="1428"/>
      <c r="H85" s="1522"/>
      <c r="I85" s="1523"/>
      <c r="J85" s="1480"/>
      <c r="K85" s="1480"/>
      <c r="L85" s="1517"/>
      <c r="M85" s="1272"/>
      <c r="N85" s="1524"/>
      <c r="O85" s="1525"/>
      <c r="P85" s="1479"/>
      <c r="Q85" s="1480"/>
      <c r="R85" s="1480"/>
      <c r="S85" s="1480"/>
      <c r="T85" s="1480"/>
      <c r="U85" s="1480"/>
      <c r="V85" s="1480"/>
      <c r="W85" s="1480"/>
      <c r="X85" s="1480"/>
      <c r="Y85" s="1480"/>
      <c r="Z85" s="1071"/>
      <c r="AA85" s="1072"/>
      <c r="AB85" s="1079"/>
      <c r="AC85" s="1073"/>
      <c r="AD85" s="1073"/>
      <c r="AE85" s="1080"/>
      <c r="AF85" s="1521"/>
      <c r="AG85" s="1517"/>
      <c r="AH85" s="1517"/>
      <c r="AI85" s="1521"/>
      <c r="AJ85" s="1517"/>
      <c r="AK85" s="1517"/>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519"/>
      <c r="G86" s="1428"/>
      <c r="H86" s="1522"/>
      <c r="I86" s="1523"/>
      <c r="J86" s="1480"/>
      <c r="K86" s="1480"/>
      <c r="L86" s="1517"/>
      <c r="M86" s="1272"/>
      <c r="N86" s="1072"/>
      <c r="O86" s="1072"/>
      <c r="P86" s="1079"/>
      <c r="Q86" s="1072"/>
      <c r="R86" s="1072"/>
      <c r="S86" s="1072"/>
      <c r="T86" s="1072"/>
      <c r="U86" s="1072"/>
      <c r="V86" s="1072"/>
      <c r="W86" s="1072"/>
      <c r="X86" s="1072"/>
      <c r="Y86" s="1072"/>
      <c r="Z86" s="1072"/>
      <c r="AA86" s="1072"/>
      <c r="AB86" s="1072"/>
      <c r="AC86" s="1072"/>
      <c r="AD86" s="1072"/>
      <c r="AE86" s="1081"/>
      <c r="AF86" s="1521"/>
      <c r="AG86" s="1517"/>
      <c r="AH86" s="1517"/>
      <c r="AI86" s="1521"/>
      <c r="AJ86" s="1517"/>
      <c r="AK86" s="1517"/>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520"/>
      <c r="G87" s="688"/>
      <c r="H87" s="688"/>
      <c r="I87" s="1518" t="s">
        <v>1926</v>
      </c>
      <c r="J87" s="1518"/>
      <c r="K87" s="1518"/>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4" customFormat="1" ht="11.25" customHeight="1">
      <c r="A89" s="984" t="s">
        <v>1927</v>
      </c>
    </row>
    <row r="91" spans="1:58" s="11" customFormat="1" ht="11.25" customHeight="1">
      <c r="A91" s="303"/>
      <c r="B91" s="303"/>
      <c r="C91" s="303"/>
      <c r="D91" s="63"/>
      <c r="E91" s="10"/>
      <c r="F91" s="989"/>
      <c r="G91" s="990"/>
      <c r="H91" s="990"/>
      <c r="I91" s="874"/>
      <c r="J91" s="874"/>
      <c r="K91" s="991"/>
      <c r="L91" s="874"/>
      <c r="M91" s="990"/>
      <c r="N91" s="1481"/>
      <c r="O91" s="1482">
        <v>1</v>
      </c>
      <c r="P91" s="1483" t="s">
        <v>19</v>
      </c>
      <c r="Q91" s="1392" t="s">
        <v>22</v>
      </c>
      <c r="R91" s="1392" t="s">
        <v>22</v>
      </c>
      <c r="S91" s="1392" t="s">
        <v>22</v>
      </c>
      <c r="T91" s="1392" t="s">
        <v>22</v>
      </c>
      <c r="U91" s="1392" t="s">
        <v>22</v>
      </c>
      <c r="V91" s="1392" t="s">
        <v>22</v>
      </c>
      <c r="W91" s="1392" t="s">
        <v>22</v>
      </c>
      <c r="X91" s="1392" t="s">
        <v>22</v>
      </c>
      <c r="Y91" s="1392"/>
      <c r="Z91" s="675"/>
      <c r="AA91" s="676"/>
      <c r="AB91" s="676"/>
      <c r="AC91" s="680"/>
      <c r="AD91" s="680"/>
      <c r="AE91" s="680"/>
      <c r="AF91" s="992"/>
      <c r="AG91" s="967"/>
      <c r="AH91" s="967"/>
      <c r="AI91" s="992"/>
      <c r="AJ91" s="967"/>
      <c r="AK91" s="1057"/>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9"/>
      <c r="G92" s="990"/>
      <c r="H92" s="990"/>
      <c r="I92" s="971"/>
      <c r="J92" s="971"/>
      <c r="K92" s="991"/>
      <c r="L92" s="971"/>
      <c r="M92" s="990"/>
      <c r="N92" s="1481"/>
      <c r="O92" s="1482"/>
      <c r="P92" s="1484"/>
      <c r="Q92" s="1392"/>
      <c r="R92" s="1392"/>
      <c r="S92" s="1486"/>
      <c r="T92" s="1392"/>
      <c r="U92" s="1392"/>
      <c r="V92" s="1392"/>
      <c r="W92" s="1392"/>
      <c r="X92" s="1392"/>
      <c r="Y92" s="1392"/>
      <c r="Z92" s="988"/>
      <c r="AA92" s="979">
        <v>1</v>
      </c>
      <c r="AB92" s="679"/>
      <c r="AC92" s="380"/>
      <c r="AD92" s="679">
        <f>AB92</f>
        <v>0</v>
      </c>
      <c r="AE92" s="421"/>
      <c r="AF92" s="991"/>
      <c r="AG92" s="967"/>
      <c r="AH92" s="967"/>
      <c r="AI92" s="991"/>
      <c r="AJ92" s="967"/>
      <c r="AK92" s="1057"/>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9"/>
      <c r="G93" s="990"/>
      <c r="H93" s="990"/>
      <c r="I93" s="972"/>
      <c r="J93" s="972"/>
      <c r="K93" s="991"/>
      <c r="L93" s="972"/>
      <c r="M93" s="990"/>
      <c r="N93" s="1481"/>
      <c r="O93" s="1482"/>
      <c r="P93" s="1485"/>
      <c r="Q93" s="1392"/>
      <c r="R93" s="1392"/>
      <c r="S93" s="1486"/>
      <c r="T93" s="1392"/>
      <c r="U93" s="1392"/>
      <c r="V93" s="1392"/>
      <c r="W93" s="1392"/>
      <c r="X93" s="1392"/>
      <c r="Y93" s="1392"/>
      <c r="Z93" s="675"/>
      <c r="AA93" s="676"/>
      <c r="AB93" s="110" t="s">
        <v>1928</v>
      </c>
      <c r="AC93" s="680"/>
      <c r="AD93" s="680"/>
      <c r="AE93" s="680"/>
      <c r="AF93" s="993"/>
      <c r="AG93" s="967"/>
      <c r="AH93" s="967"/>
      <c r="AI93" s="993"/>
      <c r="AJ93" s="967"/>
      <c r="AK93" s="1057"/>
      <c r="AL93" s="714"/>
      <c r="AM93" s="34"/>
      <c r="AN93" s="34"/>
      <c r="AO93" s="34"/>
      <c r="AP93" s="34"/>
      <c r="AQ93" s="34"/>
      <c r="AR93" s="34"/>
      <c r="AS93" s="34"/>
      <c r="AT93" s="34"/>
      <c r="AU93" s="34"/>
      <c r="AV93" s="34"/>
      <c r="AW93" s="34"/>
      <c r="AX93" s="34"/>
      <c r="AY93" s="34"/>
      <c r="AZ93" s="34"/>
      <c r="BA93" s="34"/>
      <c r="BB93" s="34"/>
      <c r="BC93" s="34"/>
      <c r="BD93" s="34"/>
      <c r="BE93" s="34"/>
      <c r="BF93" s="34"/>
    </row>
    <row r="95" spans="1:58" s="984" customFormat="1" ht="11.25" customHeight="1">
      <c r="A95" s="984" t="s">
        <v>1929</v>
      </c>
    </row>
    <row r="97" spans="1:184" s="11" customFormat="1" ht="11.25" customHeight="1">
      <c r="A97" s="303"/>
      <c r="B97" s="303"/>
      <c r="C97" s="303"/>
      <c r="D97" s="63"/>
      <c r="E97" s="10"/>
      <c r="F97" s="990"/>
      <c r="G97" s="990"/>
      <c r="H97" s="990"/>
      <c r="I97" s="990"/>
      <c r="J97" s="990"/>
      <c r="K97" s="990"/>
      <c r="L97" s="990"/>
      <c r="M97" s="990"/>
      <c r="N97" s="990"/>
      <c r="O97" s="990"/>
      <c r="P97" s="990"/>
      <c r="Q97" s="990"/>
      <c r="R97" s="990"/>
      <c r="S97" s="990"/>
      <c r="T97" s="990"/>
      <c r="U97" s="990"/>
      <c r="V97" s="990"/>
      <c r="W97" s="990"/>
      <c r="X97" s="990"/>
      <c r="Y97" s="990"/>
      <c r="Z97" s="994"/>
      <c r="AA97" s="983">
        <v>1</v>
      </c>
      <c r="AB97" s="679"/>
      <c r="AC97" s="380"/>
      <c r="AD97" s="679">
        <f>AB97</f>
        <v>0</v>
      </c>
      <c r="AE97" s="380"/>
      <c r="AF97" s="991"/>
      <c r="AG97" s="967"/>
      <c r="AH97" s="967"/>
      <c r="AI97" s="991"/>
      <c r="AJ97" s="967"/>
      <c r="AK97" s="1057"/>
      <c r="AL97" s="714"/>
      <c r="AM97" s="34"/>
      <c r="AN97" s="34"/>
      <c r="AO97" s="34"/>
      <c r="AP97" s="34"/>
      <c r="AQ97" s="34"/>
      <c r="AR97" s="34"/>
      <c r="AS97" s="34"/>
      <c r="AT97" s="34"/>
      <c r="AU97" s="34"/>
      <c r="AV97" s="34"/>
      <c r="AW97" s="34"/>
      <c r="AX97" s="34"/>
      <c r="AY97" s="34"/>
      <c r="AZ97" s="34"/>
      <c r="BA97" s="34"/>
      <c r="BB97" s="34"/>
      <c r="BC97" s="34"/>
      <c r="BD97" s="34"/>
      <c r="BE97" s="34"/>
      <c r="BF97" s="34"/>
    </row>
    <row r="99" spans="1:184" s="984" customFormat="1" ht="11.25" customHeight="1">
      <c r="A99" s="984" t="s">
        <v>1930</v>
      </c>
    </row>
    <row r="101" spans="1:184" s="11" customFormat="1" ht="11.25" customHeight="1">
      <c r="A101" s="303"/>
      <c r="B101" s="303"/>
      <c r="C101" s="303"/>
      <c r="D101" s="63"/>
      <c r="E101" s="10"/>
      <c r="F101" s="989"/>
      <c r="G101" s="990"/>
      <c r="H101" s="1428" t="s">
        <v>115</v>
      </c>
      <c r="I101" s="1538"/>
      <c r="J101" s="1461"/>
      <c r="K101" s="1536"/>
      <c r="L101" s="1158" t="s">
        <v>19</v>
      </c>
      <c r="M101" s="1159"/>
      <c r="N101" s="1056"/>
      <c r="O101" s="677" t="s">
        <v>380</v>
      </c>
      <c r="P101" s="678"/>
      <c r="Q101" s="678"/>
      <c r="R101" s="678"/>
      <c r="S101" s="678"/>
      <c r="T101" s="678"/>
      <c r="U101" s="678"/>
      <c r="V101" s="678"/>
      <c r="W101" s="678"/>
      <c r="X101" s="678"/>
      <c r="Y101" s="678"/>
      <c r="Z101" s="678"/>
      <c r="AA101" s="678"/>
      <c r="AB101" s="678"/>
      <c r="AC101" s="678"/>
      <c r="AD101" s="678"/>
      <c r="AE101" s="678"/>
      <c r="AF101" s="1539"/>
      <c r="AG101" s="1540"/>
      <c r="AH101" s="1540"/>
      <c r="AI101" s="1539"/>
      <c r="AJ101" s="1540"/>
      <c r="AK101" s="1540"/>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9"/>
      <c r="G102" s="990"/>
      <c r="H102" s="1428"/>
      <c r="I102" s="1538"/>
      <c r="J102" s="1461"/>
      <c r="K102" s="1536"/>
      <c r="L102" s="1158"/>
      <c r="M102" s="1159"/>
      <c r="N102" s="1481"/>
      <c r="O102" s="1541">
        <v>1</v>
      </c>
      <c r="P102" s="1483" t="s">
        <v>19</v>
      </c>
      <c r="Q102" s="1392" t="s">
        <v>22</v>
      </c>
      <c r="R102" s="1392" t="s">
        <v>22</v>
      </c>
      <c r="S102" s="1392" t="s">
        <v>22</v>
      </c>
      <c r="T102" s="1392" t="s">
        <v>22</v>
      </c>
      <c r="U102" s="1392" t="s">
        <v>22</v>
      </c>
      <c r="V102" s="1392" t="s">
        <v>22</v>
      </c>
      <c r="W102" s="1392" t="s">
        <v>22</v>
      </c>
      <c r="X102" s="1392" t="s">
        <v>22</v>
      </c>
      <c r="Y102" s="1392"/>
      <c r="Z102" s="675"/>
      <c r="AA102" s="676"/>
      <c r="AB102" s="676"/>
      <c r="AC102" s="680"/>
      <c r="AD102" s="680"/>
      <c r="AE102" s="681"/>
      <c r="AF102" s="1539"/>
      <c r="AG102" s="1540"/>
      <c r="AH102" s="1540"/>
      <c r="AI102" s="1539"/>
      <c r="AJ102" s="1540"/>
      <c r="AK102" s="1540"/>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9"/>
      <c r="G103" s="990"/>
      <c r="H103" s="1428"/>
      <c r="I103" s="1538"/>
      <c r="J103" s="1461"/>
      <c r="K103" s="1536"/>
      <c r="L103" s="1158"/>
      <c r="M103" s="1159"/>
      <c r="N103" s="1481"/>
      <c r="O103" s="1541"/>
      <c r="P103" s="1484"/>
      <c r="Q103" s="1392"/>
      <c r="R103" s="1392"/>
      <c r="S103" s="1486"/>
      <c r="T103" s="1392"/>
      <c r="U103" s="1392"/>
      <c r="V103" s="1392"/>
      <c r="W103" s="1392"/>
      <c r="X103" s="1392"/>
      <c r="Y103" s="1392"/>
      <c r="Z103" s="988"/>
      <c r="AA103" s="979">
        <v>1</v>
      </c>
      <c r="AB103" s="679"/>
      <c r="AC103" s="380"/>
      <c r="AD103" s="679">
        <f>AB103</f>
        <v>0</v>
      </c>
      <c r="AE103" s="380"/>
      <c r="AF103" s="1539"/>
      <c r="AG103" s="1540"/>
      <c r="AH103" s="1540"/>
      <c r="AI103" s="1539"/>
      <c r="AJ103" s="1540"/>
      <c r="AK103" s="1540"/>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9"/>
      <c r="G104" s="990"/>
      <c r="H104" s="1428"/>
      <c r="I104" s="1538"/>
      <c r="J104" s="1461"/>
      <c r="K104" s="1536"/>
      <c r="L104" s="1158"/>
      <c r="M104" s="1159"/>
      <c r="N104" s="1481"/>
      <c r="O104" s="1541"/>
      <c r="P104" s="1485"/>
      <c r="Q104" s="1392"/>
      <c r="R104" s="1392"/>
      <c r="S104" s="1486"/>
      <c r="T104" s="1392"/>
      <c r="U104" s="1392"/>
      <c r="V104" s="1392"/>
      <c r="W104" s="1392"/>
      <c r="X104" s="1392"/>
      <c r="Y104" s="1392"/>
      <c r="Z104" s="675"/>
      <c r="AA104" s="676"/>
      <c r="AB104" s="110" t="s">
        <v>1928</v>
      </c>
      <c r="AC104" s="680"/>
      <c r="AD104" s="680"/>
      <c r="AE104" s="682"/>
      <c r="AF104" s="1539"/>
      <c r="AG104" s="1540"/>
      <c r="AH104" s="1540"/>
      <c r="AI104" s="1539"/>
      <c r="AJ104" s="1540"/>
      <c r="AK104" s="1540"/>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9"/>
      <c r="G105" s="990"/>
      <c r="H105" s="1428"/>
      <c r="I105" s="1538"/>
      <c r="J105" s="1461"/>
      <c r="K105" s="1536"/>
      <c r="L105" s="1158"/>
      <c r="M105" s="1159"/>
      <c r="N105" s="675"/>
      <c r="O105" s="676"/>
      <c r="P105" s="110" t="s">
        <v>1931</v>
      </c>
      <c r="Q105" s="676"/>
      <c r="R105" s="676"/>
      <c r="S105" s="676"/>
      <c r="T105" s="676"/>
      <c r="U105" s="676"/>
      <c r="V105" s="676"/>
      <c r="W105" s="676"/>
      <c r="X105" s="676"/>
      <c r="Y105" s="676"/>
      <c r="Z105" s="676"/>
      <c r="AA105" s="676"/>
      <c r="AB105" s="676"/>
      <c r="AC105" s="676"/>
      <c r="AD105" s="676"/>
      <c r="AE105" s="683"/>
      <c r="AF105" s="1539"/>
      <c r="AG105" s="1540"/>
      <c r="AH105" s="1540"/>
      <c r="AI105" s="1539"/>
      <c r="AJ105" s="1540"/>
      <c r="AK105" s="1540"/>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4" customFormat="1" ht="11.25" customHeight="1">
      <c r="A107" s="984" t="s">
        <v>1932</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2"/>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1933</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4" customFormat="1" ht="11.25" customHeight="1">
      <c r="A113" s="984" t="s">
        <v>1934</v>
      </c>
    </row>
    <row r="115" spans="1:83" ht="15" customHeight="1">
      <c r="A115" s="32"/>
      <c r="D115" s="1493" t="s">
        <v>115</v>
      </c>
      <c r="E115" s="1373" t="s">
        <v>111</v>
      </c>
      <c r="F115" s="1374"/>
      <c r="G115" s="1375"/>
      <c r="H115" s="1369" t="str">
        <f>IF(A115="","",INDEX(DIFFERENTIATION_UNMERGE_VD,MATCH(A115,DIFFERENTIATION_ID_DIFF,0)))</f>
        <v/>
      </c>
      <c r="I115" s="1369"/>
      <c r="J115" s="1369"/>
      <c r="K115" s="1369"/>
      <c r="L115" s="1369"/>
      <c r="M115" s="1369"/>
      <c r="N115" s="1369"/>
      <c r="O115" s="1369"/>
      <c r="P115" s="1369"/>
      <c r="Q115" s="1369"/>
      <c r="R115" s="1369"/>
      <c r="S115" s="416"/>
      <c r="T115" s="414"/>
      <c r="U115" s="104"/>
      <c r="V115" s="104"/>
      <c r="W115" s="62"/>
      <c r="X115" s="62"/>
      <c r="Y115" s="62"/>
      <c r="Z115" s="62"/>
      <c r="AA115" s="104"/>
      <c r="AB115" s="62"/>
      <c r="AC115" s="1372"/>
      <c r="AD115" s="62"/>
      <c r="AE115" s="359" t="s">
        <v>22</v>
      </c>
      <c r="AF115" s="359"/>
      <c r="AG115" s="360" t="s">
        <v>613</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customHeight="1">
      <c r="A116" s="32"/>
      <c r="D116" s="1494"/>
      <c r="E116" s="1373" t="s">
        <v>568</v>
      </c>
      <c r="F116" s="1374"/>
      <c r="G116" s="1375"/>
      <c r="H116" s="1369" t="str">
        <f>IF(A115="","",INDEX(DIFFERENTIATION_UNMERGE_AREA,MATCH(A115,DIFFERENTIATION_ID_DIFF,0)))</f>
        <v/>
      </c>
      <c r="I116" s="1369"/>
      <c r="J116" s="1369"/>
      <c r="K116" s="1369"/>
      <c r="L116" s="1369"/>
      <c r="M116" s="1369"/>
      <c r="N116" s="1369"/>
      <c r="O116" s="1369"/>
      <c r="P116" s="1369"/>
      <c r="Q116" s="1369"/>
      <c r="R116" s="1369"/>
      <c r="S116" s="416"/>
      <c r="T116" s="414"/>
      <c r="U116" s="104"/>
      <c r="V116" s="104"/>
      <c r="W116" s="62"/>
      <c r="X116" s="62"/>
      <c r="Y116" s="62"/>
      <c r="Z116" s="62"/>
      <c r="AA116" s="104"/>
      <c r="AB116" s="62"/>
      <c r="AC116" s="1372"/>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customHeight="1">
      <c r="A117" s="32"/>
      <c r="D117" s="1494"/>
      <c r="E117" s="1373" t="s">
        <v>569</v>
      </c>
      <c r="F117" s="1374"/>
      <c r="G117" s="1375"/>
      <c r="H117" s="1369" t="str">
        <f>IF(A115="","",INDEX(DIFFERENTIATION_UNMERGE_SYSTEM,MATCH(A115,DIFFERENTIATION_ID_DIFF,0)))</f>
        <v/>
      </c>
      <c r="I117" s="1369"/>
      <c r="J117" s="1369"/>
      <c r="K117" s="1369"/>
      <c r="L117" s="1369"/>
      <c r="M117" s="1369"/>
      <c r="N117" s="1369"/>
      <c r="O117" s="1369"/>
      <c r="P117" s="1369"/>
      <c r="Q117" s="1369"/>
      <c r="R117" s="1369"/>
      <c r="S117" s="416"/>
      <c r="T117" s="414"/>
      <c r="U117" s="104"/>
      <c r="V117" s="104"/>
      <c r="W117" s="62"/>
      <c r="X117" s="62"/>
      <c r="Y117" s="62"/>
      <c r="Z117" s="62"/>
      <c r="AA117" s="104"/>
      <c r="AB117" s="62"/>
      <c r="AC117" s="1372"/>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customHeight="1">
      <c r="A118" s="301"/>
      <c r="B118" s="63"/>
      <c r="C118" s="235"/>
      <c r="D118" s="1494"/>
      <c r="E118" s="1371" t="s">
        <v>614</v>
      </c>
      <c r="F118" s="1371"/>
      <c r="G118" s="1371"/>
      <c r="H118" s="1371"/>
      <c r="I118" s="1371"/>
      <c r="J118" s="1371"/>
      <c r="K118" s="1371"/>
      <c r="L118" s="1371"/>
      <c r="M118" s="1371"/>
      <c r="N118" s="1371"/>
      <c r="O118" s="1371"/>
      <c r="P118" s="1371"/>
      <c r="Q118" s="322">
        <f>SUMIF(T119:T120,"i",Q119:Q120)</f>
        <v>0</v>
      </c>
      <c r="R118" s="596"/>
      <c r="S118" s="153" t="s">
        <v>615</v>
      </c>
      <c r="T118" s="414" t="s">
        <v>616</v>
      </c>
      <c r="U118" s="1279">
        <v>1</v>
      </c>
      <c r="V118" s="1279" t="s">
        <v>579</v>
      </c>
      <c r="W118" s="63"/>
      <c r="X118" s="63"/>
      <c r="Y118" s="63"/>
      <c r="Z118" s="63"/>
      <c r="AA118" s="68"/>
      <c r="AB118" s="63"/>
      <c r="AC118" s="1372"/>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494"/>
      <c r="E119" s="362"/>
      <c r="F119" s="362">
        <v>0</v>
      </c>
      <c r="G119" s="362"/>
      <c r="H119" s="362"/>
      <c r="I119" s="362"/>
      <c r="J119" s="362"/>
      <c r="K119" s="362"/>
      <c r="L119" s="362"/>
      <c r="M119" s="362"/>
      <c r="N119" s="362"/>
      <c r="O119" s="362"/>
      <c r="P119" s="362"/>
      <c r="Q119" s="362"/>
      <c r="R119" s="362"/>
      <c r="S119" s="317"/>
      <c r="T119" s="415"/>
      <c r="U119" s="1279"/>
      <c r="V119" s="1279"/>
      <c r="W119" s="68"/>
      <c r="X119" s="68"/>
      <c r="Y119" s="68"/>
      <c r="Z119" s="68"/>
      <c r="AA119" s="68"/>
      <c r="AB119" s="63"/>
      <c r="AC119" s="1372"/>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customHeight="1">
      <c r="A120" s="301"/>
      <c r="B120" s="63"/>
      <c r="C120" s="235"/>
      <c r="D120" s="1494"/>
      <c r="E120" s="184" t="s">
        <v>22</v>
      </c>
      <c r="F120" s="110" t="s">
        <v>22</v>
      </c>
      <c r="G120" s="110" t="s">
        <v>1935</v>
      </c>
      <c r="H120" s="52" t="s">
        <v>22</v>
      </c>
      <c r="I120" s="52"/>
      <c r="J120" s="52"/>
      <c r="K120" s="52"/>
      <c r="L120" s="52"/>
      <c r="M120" s="52"/>
      <c r="N120" s="52"/>
      <c r="O120" s="52"/>
      <c r="P120" s="52"/>
      <c r="Q120" s="52"/>
      <c r="R120" s="352"/>
      <c r="S120" s="371"/>
      <c r="T120" s="415"/>
      <c r="U120" s="1279"/>
      <c r="V120" s="1279"/>
      <c r="W120" s="63"/>
      <c r="X120" s="63"/>
      <c r="Y120" s="63"/>
      <c r="Z120" s="63"/>
      <c r="AA120" s="68"/>
      <c r="AB120" s="63"/>
      <c r="AC120" s="1372"/>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customHeight="1">
      <c r="A121" s="301"/>
      <c r="B121" s="63"/>
      <c r="C121" s="235"/>
      <c r="D121" s="1494"/>
      <c r="E121" s="1371" t="s">
        <v>617</v>
      </c>
      <c r="F121" s="1371"/>
      <c r="G121" s="1371"/>
      <c r="H121" s="1371"/>
      <c r="I121" s="1371"/>
      <c r="J121" s="1371"/>
      <c r="K121" s="1371"/>
      <c r="L121" s="1371"/>
      <c r="M121" s="1371"/>
      <c r="N121" s="1371"/>
      <c r="O121" s="1371"/>
      <c r="P121" s="1371"/>
      <c r="Q121" s="322">
        <f>SUMIF(T122:T123,"i",Q122:Q123)</f>
        <v>0</v>
      </c>
      <c r="R121" s="596"/>
      <c r="S121" s="153" t="s">
        <v>618</v>
      </c>
      <c r="T121" s="414" t="s">
        <v>616</v>
      </c>
      <c r="U121" s="1279">
        <v>1</v>
      </c>
      <c r="V121" s="1279" t="s">
        <v>579</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494"/>
      <c r="E122" s="362"/>
      <c r="F122" s="362">
        <v>0</v>
      </c>
      <c r="G122" s="362"/>
      <c r="H122" s="362"/>
      <c r="I122" s="362"/>
      <c r="J122" s="362"/>
      <c r="K122" s="362"/>
      <c r="L122" s="362"/>
      <c r="M122" s="362"/>
      <c r="N122" s="362"/>
      <c r="O122" s="362"/>
      <c r="P122" s="362"/>
      <c r="Q122" s="362"/>
      <c r="R122" s="362"/>
      <c r="S122" s="317"/>
      <c r="T122" s="415"/>
      <c r="U122" s="1279"/>
      <c r="V122" s="1279"/>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customHeight="1">
      <c r="A123" s="301"/>
      <c r="B123" s="63"/>
      <c r="C123" s="235"/>
      <c r="D123" s="1495"/>
      <c r="E123" s="184" t="s">
        <v>22</v>
      </c>
      <c r="F123" s="110" t="s">
        <v>22</v>
      </c>
      <c r="G123" s="110" t="s">
        <v>1935</v>
      </c>
      <c r="H123" s="52" t="s">
        <v>22</v>
      </c>
      <c r="I123" s="52"/>
      <c r="J123" s="52"/>
      <c r="K123" s="52"/>
      <c r="L123" s="52"/>
      <c r="M123" s="52"/>
      <c r="N123" s="52"/>
      <c r="O123" s="52"/>
      <c r="P123" s="52"/>
      <c r="Q123" s="52"/>
      <c r="R123" s="352"/>
      <c r="S123" s="371"/>
      <c r="T123" s="415"/>
      <c r="U123" s="1279"/>
      <c r="V123" s="1279"/>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4" customFormat="1" ht="11.25" customHeight="1">
      <c r="A125" s="984" t="s">
        <v>1936</v>
      </c>
    </row>
    <row r="127" spans="1:83" ht="15" customHeight="1">
      <c r="A127" s="32"/>
      <c r="D127" s="1493" t="s">
        <v>115</v>
      </c>
      <c r="E127" s="1373" t="s">
        <v>111</v>
      </c>
      <c r="F127" s="1374"/>
      <c r="G127" s="1375"/>
      <c r="H127" s="1369" t="str">
        <f>IF(A127="","",INDEX(DIFFERENTIATION_UNMERGE_VD,MATCH(A127,DIFFERENTIATION_ID_DIFF,0)))</f>
        <v/>
      </c>
      <c r="I127" s="1369"/>
      <c r="J127" s="1369"/>
      <c r="K127" s="1369"/>
      <c r="L127" s="1369"/>
      <c r="M127" s="1369"/>
      <c r="N127" s="1369"/>
      <c r="O127" s="1369"/>
      <c r="P127" s="1369"/>
      <c r="Q127" s="1369"/>
      <c r="R127" s="1369"/>
      <c r="S127" s="416"/>
      <c r="T127" s="414"/>
      <c r="U127" s="104"/>
      <c r="V127" s="104"/>
      <c r="W127" s="62"/>
      <c r="X127" s="62"/>
      <c r="Y127" s="62"/>
      <c r="Z127" s="62"/>
      <c r="AA127" s="104"/>
      <c r="AB127" s="62"/>
      <c r="AC127" s="1372"/>
      <c r="AD127" s="62"/>
      <c r="AE127" s="359" t="s">
        <v>22</v>
      </c>
      <c r="AF127" s="359"/>
      <c r="AG127" s="360" t="s">
        <v>613</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494"/>
      <c r="E128" s="1373" t="s">
        <v>568</v>
      </c>
      <c r="F128" s="1374"/>
      <c r="G128" s="1375"/>
      <c r="H128" s="1369" t="str">
        <f>IF(A127="","",INDEX(DIFFERENTIATION_UNMERGE_AREA,MATCH(A127,DIFFERENTIATION_ID_DIFF,0)))</f>
        <v/>
      </c>
      <c r="I128" s="1369"/>
      <c r="J128" s="1369"/>
      <c r="K128" s="1369"/>
      <c r="L128" s="1369"/>
      <c r="M128" s="1369"/>
      <c r="N128" s="1369"/>
      <c r="O128" s="1369"/>
      <c r="P128" s="1369"/>
      <c r="Q128" s="1369"/>
      <c r="R128" s="1369"/>
      <c r="S128" s="416"/>
      <c r="T128" s="414"/>
      <c r="U128" s="104"/>
      <c r="V128" s="104"/>
      <c r="W128" s="62"/>
      <c r="X128" s="62"/>
      <c r="Y128" s="62"/>
      <c r="Z128" s="62"/>
      <c r="AA128" s="104"/>
      <c r="AB128" s="62"/>
      <c r="AC128" s="1372"/>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494"/>
      <c r="E129" s="1373" t="s">
        <v>569</v>
      </c>
      <c r="F129" s="1374"/>
      <c r="G129" s="1375"/>
      <c r="H129" s="1369" t="str">
        <f>IF(A127="","",INDEX(DIFFERENTIATION_UNMERGE_SYSTEM,MATCH(A127,DIFFERENTIATION_ID_DIFF,0)))</f>
        <v/>
      </c>
      <c r="I129" s="1369"/>
      <c r="J129" s="1369"/>
      <c r="K129" s="1369"/>
      <c r="L129" s="1369"/>
      <c r="M129" s="1369"/>
      <c r="N129" s="1369"/>
      <c r="O129" s="1369"/>
      <c r="P129" s="1369"/>
      <c r="Q129" s="1369"/>
      <c r="R129" s="1369"/>
      <c r="S129" s="416"/>
      <c r="T129" s="414"/>
      <c r="U129" s="104"/>
      <c r="V129" s="104"/>
      <c r="W129" s="62"/>
      <c r="X129" s="62"/>
      <c r="Y129" s="62"/>
      <c r="Z129" s="62"/>
      <c r="AA129" s="104"/>
      <c r="AB129" s="62"/>
      <c r="AC129" s="1372"/>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494"/>
      <c r="E130" s="1371" t="s">
        <v>614</v>
      </c>
      <c r="F130" s="1371"/>
      <c r="G130" s="1371"/>
      <c r="H130" s="1371"/>
      <c r="I130" s="1371"/>
      <c r="J130" s="1371"/>
      <c r="K130" s="1371"/>
      <c r="L130" s="1371"/>
      <c r="M130" s="1371"/>
      <c r="N130" s="1371"/>
      <c r="O130" s="1371"/>
      <c r="P130" s="1371"/>
      <c r="Q130" s="322">
        <f>SUMIF(T131:T132,"i",Q131:Q132)</f>
        <v>0</v>
      </c>
      <c r="R130" s="596"/>
      <c r="S130" s="153" t="s">
        <v>615</v>
      </c>
      <c r="T130" s="414" t="s">
        <v>616</v>
      </c>
      <c r="U130" s="1279">
        <v>1</v>
      </c>
      <c r="V130" s="1279" t="s">
        <v>579</v>
      </c>
      <c r="W130" s="63"/>
      <c r="X130" s="63"/>
      <c r="Y130" s="63"/>
      <c r="Z130" s="63"/>
      <c r="AA130" s="68"/>
      <c r="AB130" s="63"/>
      <c r="AC130" s="1372"/>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494"/>
      <c r="E131" s="362"/>
      <c r="F131" s="362">
        <v>0</v>
      </c>
      <c r="G131" s="362"/>
      <c r="H131" s="362"/>
      <c r="I131" s="362"/>
      <c r="J131" s="362"/>
      <c r="K131" s="362"/>
      <c r="L131" s="362"/>
      <c r="M131" s="362"/>
      <c r="N131" s="362"/>
      <c r="O131" s="362"/>
      <c r="P131" s="362"/>
      <c r="Q131" s="362"/>
      <c r="R131" s="362"/>
      <c r="S131" s="317"/>
      <c r="T131" s="415"/>
      <c r="U131" s="1279"/>
      <c r="V131" s="1279"/>
      <c r="W131" s="68"/>
      <c r="X131" s="68"/>
      <c r="Y131" s="68"/>
      <c r="Z131" s="68"/>
      <c r="AA131" s="68"/>
      <c r="AB131" s="63"/>
      <c r="AC131" s="1372"/>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494"/>
      <c r="E132" s="184" t="s">
        <v>22</v>
      </c>
      <c r="F132" s="110" t="s">
        <v>22</v>
      </c>
      <c r="G132" s="110" t="s">
        <v>1935</v>
      </c>
      <c r="H132" s="52" t="s">
        <v>22</v>
      </c>
      <c r="I132" s="52"/>
      <c r="J132" s="52"/>
      <c r="K132" s="52"/>
      <c r="L132" s="52"/>
      <c r="M132" s="52"/>
      <c r="N132" s="52"/>
      <c r="O132" s="52"/>
      <c r="P132" s="52"/>
      <c r="Q132" s="52"/>
      <c r="R132" s="352"/>
      <c r="S132" s="371"/>
      <c r="T132" s="415"/>
      <c r="U132" s="1279"/>
      <c r="V132" s="1279"/>
      <c r="W132" s="63"/>
      <c r="X132" s="63"/>
      <c r="Y132" s="63"/>
      <c r="Z132" s="63"/>
      <c r="AA132" s="68"/>
      <c r="AB132" s="63"/>
      <c r="AC132" s="1372"/>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494"/>
      <c r="E133" s="611"/>
      <c r="F133" s="611"/>
      <c r="G133" s="611"/>
      <c r="H133" s="611"/>
      <c r="I133" s="611"/>
      <c r="J133" s="611"/>
      <c r="K133" s="611"/>
      <c r="L133" s="611"/>
      <c r="M133" s="611"/>
      <c r="N133" s="611"/>
      <c r="O133" s="611"/>
      <c r="P133" s="611"/>
      <c r="Q133" s="612"/>
      <c r="R133" s="613"/>
      <c r="S133" s="362"/>
      <c r="T133" s="414" t="s">
        <v>616</v>
      </c>
      <c r="U133" s="1279">
        <v>1</v>
      </c>
      <c r="V133" s="1279" t="s">
        <v>579</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494"/>
      <c r="E134" s="362"/>
      <c r="F134" s="362"/>
      <c r="G134" s="362"/>
      <c r="H134" s="362"/>
      <c r="I134" s="362"/>
      <c r="J134" s="362"/>
      <c r="K134" s="362"/>
      <c r="L134" s="362"/>
      <c r="M134" s="362"/>
      <c r="N134" s="362"/>
      <c r="O134" s="362"/>
      <c r="P134" s="362"/>
      <c r="Q134" s="362"/>
      <c r="R134" s="362"/>
      <c r="S134" s="317"/>
      <c r="T134" s="415"/>
      <c r="U134" s="1279"/>
      <c r="V134" s="1279"/>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495"/>
      <c r="E135" s="614"/>
      <c r="F135" s="615"/>
      <c r="G135" s="615"/>
      <c r="H135" s="616"/>
      <c r="I135" s="616"/>
      <c r="J135" s="616"/>
      <c r="K135" s="616"/>
      <c r="L135" s="616"/>
      <c r="M135" s="616"/>
      <c r="N135" s="616"/>
      <c r="O135" s="616"/>
      <c r="P135" s="616"/>
      <c r="Q135" s="616"/>
      <c r="R135" s="543"/>
      <c r="S135" s="617"/>
      <c r="T135" s="415"/>
      <c r="U135" s="1279"/>
      <c r="V135" s="1279"/>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5"/>
    </row>
    <row r="137" spans="1:83" s="984" customFormat="1" ht="11.25" customHeight="1">
      <c r="A137" s="984" t="s">
        <v>1937</v>
      </c>
    </row>
    <row r="139" spans="1:83" ht="45" customHeight="1">
      <c r="A139" s="301"/>
      <c r="B139" s="63"/>
      <c r="C139" s="235"/>
      <c r="E139" s="1498"/>
      <c r="F139" s="1159" t="s">
        <v>115</v>
      </c>
      <c r="G139" s="1501" t="s">
        <v>22</v>
      </c>
      <c r="H139" s="67"/>
      <c r="I139" s="363" t="s">
        <v>115</v>
      </c>
      <c r="J139" s="123" t="s">
        <v>1938</v>
      </c>
      <c r="K139" s="148" t="s">
        <v>550</v>
      </c>
      <c r="L139" s="1243" t="s">
        <v>550</v>
      </c>
      <c r="M139" s="1205"/>
      <c r="N139" s="148" t="s">
        <v>550</v>
      </c>
      <c r="O139" s="148" t="s">
        <v>550</v>
      </c>
      <c r="P139" s="148" t="s">
        <v>550</v>
      </c>
      <c r="Q139" s="364">
        <f>SUM(Q140:Q142)</f>
        <v>0</v>
      </c>
      <c r="R139" s="364">
        <f>IF(R136=0,0,(Q136/R136)*100)</f>
        <v>0</v>
      </c>
      <c r="S139" s="1217"/>
      <c r="T139" s="414" t="s">
        <v>616</v>
      </c>
    </row>
    <row r="140" spans="1:83" ht="11.25" customHeight="1">
      <c r="A140" s="301"/>
      <c r="B140" s="63"/>
      <c r="C140" s="235"/>
      <c r="E140" s="1499"/>
      <c r="F140" s="1159"/>
      <c r="G140" s="1501"/>
      <c r="H140" s="1148"/>
      <c r="I140" s="1428" t="s">
        <v>1026</v>
      </c>
      <c r="J140" s="1496"/>
      <c r="K140" s="1497"/>
      <c r="L140" s="105"/>
      <c r="M140" s="365" t="s">
        <v>115</v>
      </c>
      <c r="N140" s="248"/>
      <c r="O140" s="366"/>
      <c r="P140" s="367"/>
      <c r="Q140" s="366"/>
      <c r="R140" s="368">
        <v>0</v>
      </c>
      <c r="S140" s="1217"/>
      <c r="T140" s="414"/>
    </row>
    <row r="141" spans="1:83" ht="11.25" customHeight="1">
      <c r="A141" s="301"/>
      <c r="B141" s="63"/>
      <c r="C141" s="235"/>
      <c r="E141" s="1499"/>
      <c r="F141" s="1159"/>
      <c r="G141" s="1501"/>
      <c r="H141" s="1148"/>
      <c r="I141" s="1428"/>
      <c r="J141" s="1496"/>
      <c r="K141" s="1490"/>
      <c r="L141" s="369"/>
      <c r="M141" s="370"/>
      <c r="N141" s="52" t="s">
        <v>1939</v>
      </c>
      <c r="O141" s="52"/>
      <c r="P141" s="52"/>
      <c r="Q141" s="52"/>
      <c r="R141" s="352"/>
      <c r="S141" s="1217"/>
      <c r="T141" s="414"/>
    </row>
    <row r="142" spans="1:83" ht="11.25" customHeight="1">
      <c r="A142" s="301"/>
      <c r="B142" s="63"/>
      <c r="C142" s="235"/>
      <c r="E142" s="1500"/>
      <c r="F142" s="1159"/>
      <c r="G142" s="1502"/>
      <c r="H142" s="369" t="s">
        <v>22</v>
      </c>
      <c r="I142" s="370"/>
      <c r="J142" s="52" t="s">
        <v>1940</v>
      </c>
      <c r="K142" s="52"/>
      <c r="L142" s="52"/>
      <c r="M142" s="52"/>
      <c r="N142" s="52"/>
      <c r="O142" s="52"/>
      <c r="P142" s="52"/>
      <c r="Q142" s="52"/>
      <c r="R142" s="352"/>
      <c r="S142" s="1217"/>
      <c r="T142" s="414"/>
    </row>
    <row r="147" spans="1:43" ht="11.25" customHeight="1">
      <c r="A147" s="301"/>
      <c r="B147" s="63"/>
      <c r="C147" s="235"/>
      <c r="E147" s="990"/>
      <c r="F147" s="990"/>
      <c r="G147" s="990"/>
      <c r="H147" s="1148"/>
      <c r="I147" s="1428" t="s">
        <v>1026</v>
      </c>
      <c r="J147" s="1496"/>
      <c r="K147" s="1497"/>
      <c r="L147" s="105"/>
      <c r="M147" s="365" t="s">
        <v>115</v>
      </c>
      <c r="N147" s="248"/>
      <c r="O147" s="366"/>
      <c r="P147" s="367"/>
      <c r="Q147" s="366"/>
      <c r="R147" s="368">
        <v>0</v>
      </c>
      <c r="T147" s="414"/>
    </row>
    <row r="148" spans="1:43" ht="11.25" customHeight="1">
      <c r="A148" s="301"/>
      <c r="B148" s="63"/>
      <c r="C148" s="235"/>
      <c r="E148" s="990"/>
      <c r="F148" s="990"/>
      <c r="G148" s="990"/>
      <c r="H148" s="1148"/>
      <c r="I148" s="1428"/>
      <c r="J148" s="1496"/>
      <c r="K148" s="1490"/>
      <c r="L148" s="369"/>
      <c r="M148" s="370"/>
      <c r="N148" s="52" t="s">
        <v>1939</v>
      </c>
      <c r="O148" s="52"/>
      <c r="P148" s="52"/>
      <c r="Q148" s="52"/>
      <c r="R148" s="352"/>
      <c r="T148" s="414"/>
    </row>
    <row r="150" spans="1:43" ht="11.25" customHeight="1">
      <c r="A150" s="301"/>
      <c r="B150" s="63"/>
      <c r="C150" s="235"/>
      <c r="E150" s="996"/>
      <c r="H150" s="210"/>
      <c r="I150" s="990"/>
      <c r="J150" s="991"/>
      <c r="K150" s="991"/>
      <c r="L150" s="105"/>
      <c r="M150" s="365" t="s">
        <v>115</v>
      </c>
      <c r="N150" s="248"/>
      <c r="O150" s="366"/>
      <c r="P150" s="367"/>
      <c r="Q150" s="366"/>
      <c r="R150" s="368">
        <v>0</v>
      </c>
      <c r="T150" s="414"/>
    </row>
    <row r="152" spans="1:43" s="984" customFormat="1" ht="17.25" customHeight="1">
      <c r="A152" s="984" t="s">
        <v>1941</v>
      </c>
    </row>
    <row r="153" spans="1:43" ht="17.25" customHeight="1">
      <c r="G153" s="997"/>
      <c r="H153" s="997"/>
      <c r="I153" s="997"/>
    </row>
    <row r="154" spans="1:43" s="35" customFormat="1" ht="17.25" customHeight="1">
      <c r="A154" s="188"/>
      <c r="C154" s="77"/>
      <c r="D154" s="1487"/>
      <c r="E154" s="1170"/>
      <c r="F154" s="1183"/>
      <c r="G154" s="1491"/>
      <c r="H154" s="1487"/>
      <c r="I154" s="1487">
        <v>1</v>
      </c>
      <c r="J154" s="1505"/>
      <c r="K154" s="1220" t="s">
        <v>66</v>
      </c>
      <c r="L154" s="1159"/>
      <c r="M154" s="1159" t="s">
        <v>115</v>
      </c>
      <c r="N154" s="1503" t="str">
        <f>IF(Z154="","",INDEX(TERRITORY_MR_LIST,MATCH(Z154,TERRITORY_LIST_ID,0)))</f>
        <v/>
      </c>
      <c r="O154" s="1220" t="s">
        <v>66</v>
      </c>
      <c r="P154" s="1159"/>
      <c r="Q154" s="1159" t="s">
        <v>115</v>
      </c>
      <c r="R154" s="1490" t="s">
        <v>22</v>
      </c>
      <c r="S154" s="1158" t="s">
        <v>66</v>
      </c>
      <c r="T154" s="43"/>
      <c r="U154" s="43" t="s">
        <v>115</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487"/>
      <c r="E155" s="1170"/>
      <c r="F155" s="1184"/>
      <c r="G155" s="1491"/>
      <c r="H155" s="1487"/>
      <c r="I155" s="1487"/>
      <c r="J155" s="1505"/>
      <c r="K155" s="1221"/>
      <c r="L155" s="1159"/>
      <c r="M155" s="1159"/>
      <c r="N155" s="1503"/>
      <c r="O155" s="1221"/>
      <c r="P155" s="1159"/>
      <c r="Q155" s="1159"/>
      <c r="R155" s="1490"/>
      <c r="S155" s="1158"/>
      <c r="T155" s="185"/>
      <c r="U155" s="186"/>
      <c r="V155" s="186" t="s">
        <v>418</v>
      </c>
      <c r="W155" s="187"/>
      <c r="Y155" s="17"/>
      <c r="Z155" s="17"/>
      <c r="AA155" s="17"/>
      <c r="AB155" s="17"/>
      <c r="AC155" s="17"/>
      <c r="AD155" s="17"/>
      <c r="AE155" s="17"/>
      <c r="AF155" s="17"/>
      <c r="AG155" s="17"/>
      <c r="AH155" s="17"/>
      <c r="AI155" s="17"/>
      <c r="AJ155" s="17"/>
      <c r="AK155" s="17"/>
    </row>
    <row r="156" spans="1:43" s="35" customFormat="1" ht="17.25" customHeight="1">
      <c r="A156" s="188"/>
      <c r="D156" s="1182"/>
      <c r="E156" s="1171"/>
      <c r="F156" s="1184"/>
      <c r="G156" s="1492"/>
      <c r="H156" s="1182"/>
      <c r="I156" s="1182"/>
      <c r="J156" s="1506"/>
      <c r="K156" s="1221"/>
      <c r="L156" s="1182"/>
      <c r="M156" s="1182"/>
      <c r="N156" s="1504"/>
      <c r="O156" s="1163"/>
      <c r="P156" s="185"/>
      <c r="Q156" s="186"/>
      <c r="R156" s="186" t="s">
        <v>419</v>
      </c>
      <c r="S156" s="998"/>
      <c r="T156" s="998"/>
      <c r="U156" s="998"/>
      <c r="V156" s="998"/>
      <c r="W156" s="187"/>
      <c r="Y156" s="17"/>
      <c r="Z156" s="17"/>
      <c r="AA156" s="17"/>
      <c r="AB156" s="17"/>
      <c r="AC156" s="17"/>
      <c r="AD156" s="17"/>
      <c r="AE156" s="17"/>
      <c r="AF156" s="17"/>
      <c r="AG156" s="17"/>
      <c r="AH156" s="17"/>
      <c r="AI156" s="17"/>
      <c r="AJ156" s="17"/>
      <c r="AK156" s="17"/>
    </row>
    <row r="157" spans="1:43" s="35" customFormat="1" ht="17.25" customHeight="1">
      <c r="A157" s="188"/>
      <c r="D157" s="1182"/>
      <c r="E157" s="1171"/>
      <c r="F157" s="1184"/>
      <c r="G157" s="1492"/>
      <c r="H157" s="1182"/>
      <c r="I157" s="1182"/>
      <c r="J157" s="1506"/>
      <c r="K157" s="1163"/>
      <c r="L157" s="185"/>
      <c r="M157" s="186"/>
      <c r="N157" s="186" t="s">
        <v>420</v>
      </c>
      <c r="O157" s="186"/>
      <c r="P157" s="186"/>
      <c r="Q157" s="186"/>
      <c r="R157" s="186"/>
      <c r="S157" s="998"/>
      <c r="T157" s="998"/>
      <c r="U157" s="998"/>
      <c r="V157" s="998"/>
      <c r="W157" s="187"/>
      <c r="Y157" s="17"/>
      <c r="Z157" s="17"/>
      <c r="AA157" s="17"/>
      <c r="AB157" s="17"/>
      <c r="AC157" s="17"/>
      <c r="AD157" s="17"/>
      <c r="AE157" s="17"/>
      <c r="AF157" s="17"/>
      <c r="AG157" s="17"/>
      <c r="AH157" s="17"/>
      <c r="AI157" s="17"/>
      <c r="AJ157" s="17"/>
      <c r="AK157" s="17"/>
    </row>
    <row r="158" spans="1:43" s="35" customFormat="1" ht="17.25" customHeight="1">
      <c r="A158" s="188"/>
      <c r="D158" s="1182"/>
      <c r="E158" s="1171"/>
      <c r="F158" s="1185"/>
      <c r="G158" s="1492"/>
      <c r="H158" s="185"/>
      <c r="I158" s="186"/>
      <c r="J158" s="186" t="s">
        <v>452</v>
      </c>
      <c r="K158" s="186"/>
      <c r="L158" s="186"/>
      <c r="M158" s="186"/>
      <c r="N158" s="186"/>
      <c r="O158" s="186"/>
      <c r="P158" s="186"/>
      <c r="Q158" s="186"/>
      <c r="R158" s="186"/>
      <c r="S158" s="998"/>
      <c r="T158" s="998"/>
      <c r="U158" s="998"/>
      <c r="V158" s="998"/>
      <c r="W158" s="187"/>
      <c r="Y158" s="17"/>
      <c r="Z158" s="17"/>
      <c r="AA158" s="17"/>
      <c r="AB158" s="17"/>
      <c r="AC158" s="17"/>
      <c r="AD158" s="17"/>
      <c r="AE158" s="17"/>
      <c r="AF158" s="17"/>
      <c r="AG158" s="17"/>
      <c r="AH158" s="17"/>
      <c r="AI158" s="17"/>
      <c r="AJ158" s="17"/>
      <c r="AK158" s="17"/>
    </row>
    <row r="159" spans="1:43" ht="17.25" customHeight="1">
      <c r="G159" s="997"/>
      <c r="H159" s="997"/>
      <c r="I159" s="997"/>
    </row>
    <row r="160" spans="1:43" s="35" customFormat="1" ht="17.25" customHeight="1">
      <c r="A160" s="188"/>
      <c r="C160" s="77"/>
      <c r="D160" s="990"/>
      <c r="E160" s="999"/>
      <c r="F160" s="977"/>
      <c r="G160" s="1000"/>
      <c r="H160" s="1487"/>
      <c r="I160" s="1487">
        <v>1</v>
      </c>
      <c r="J160" s="1505"/>
      <c r="K160" s="1220" t="s">
        <v>66</v>
      </c>
      <c r="L160" s="1159"/>
      <c r="M160" s="1159" t="s">
        <v>115</v>
      </c>
      <c r="N160" s="1503" t="str">
        <f>IF(Z160="","",INDEX(TERRITORY_MR_LIST,MATCH(Z160,TERRITORY_LIST_ID,0)))</f>
        <v/>
      </c>
      <c r="O160" s="1220" t="s">
        <v>66</v>
      </c>
      <c r="P160" s="1159"/>
      <c r="Q160" s="1159" t="s">
        <v>115</v>
      </c>
      <c r="R160" s="1490" t="s">
        <v>22</v>
      </c>
      <c r="S160" s="1158" t="s">
        <v>66</v>
      </c>
      <c r="T160" s="43"/>
      <c r="U160" s="43" t="s">
        <v>115</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90"/>
      <c r="E161" s="999"/>
      <c r="F161" s="977"/>
      <c r="G161" s="1000"/>
      <c r="H161" s="1487"/>
      <c r="I161" s="1487"/>
      <c r="J161" s="1505"/>
      <c r="K161" s="1221"/>
      <c r="L161" s="1159"/>
      <c r="M161" s="1159"/>
      <c r="N161" s="1503"/>
      <c r="O161" s="1221"/>
      <c r="P161" s="1159"/>
      <c r="Q161" s="1159"/>
      <c r="R161" s="1490"/>
      <c r="S161" s="1158"/>
      <c r="T161" s="185"/>
      <c r="U161" s="186"/>
      <c r="V161" s="186" t="s">
        <v>418</v>
      </c>
      <c r="W161" s="187"/>
      <c r="Y161" s="17"/>
      <c r="Z161" s="17"/>
      <c r="AA161" s="17"/>
      <c r="AB161" s="17"/>
      <c r="AC161" s="17"/>
      <c r="AD161" s="17"/>
      <c r="AE161" s="17"/>
      <c r="AF161" s="17"/>
      <c r="AG161" s="17"/>
      <c r="AH161" s="17"/>
      <c r="AI161" s="17"/>
      <c r="AJ161" s="17"/>
      <c r="AK161" s="17"/>
    </row>
    <row r="162" spans="1:43" s="35" customFormat="1" ht="17.25" customHeight="1">
      <c r="A162" s="188"/>
      <c r="D162" s="990"/>
      <c r="E162" s="999"/>
      <c r="F162" s="977"/>
      <c r="G162" s="1000"/>
      <c r="H162" s="1182"/>
      <c r="I162" s="1182"/>
      <c r="J162" s="1506"/>
      <c r="K162" s="1221"/>
      <c r="L162" s="1182"/>
      <c r="M162" s="1182"/>
      <c r="N162" s="1504"/>
      <c r="O162" s="1163"/>
      <c r="P162" s="185"/>
      <c r="Q162" s="186"/>
      <c r="R162" s="186" t="s">
        <v>419</v>
      </c>
      <c r="S162" s="998"/>
      <c r="T162" s="998"/>
      <c r="U162" s="998"/>
      <c r="V162" s="998"/>
      <c r="W162" s="187"/>
      <c r="Y162" s="17"/>
      <c r="Z162" s="17"/>
      <c r="AA162" s="17"/>
      <c r="AB162" s="17"/>
      <c r="AC162" s="17"/>
      <c r="AD162" s="17"/>
      <c r="AE162" s="17"/>
      <c r="AF162" s="17"/>
      <c r="AG162" s="17"/>
      <c r="AH162" s="17"/>
      <c r="AI162" s="17"/>
      <c r="AJ162" s="17"/>
      <c r="AK162" s="17"/>
    </row>
    <row r="163" spans="1:43" s="35" customFormat="1" ht="17.25" customHeight="1">
      <c r="A163" s="188"/>
      <c r="D163" s="990"/>
      <c r="E163" s="999"/>
      <c r="F163" s="977"/>
      <c r="G163" s="1000"/>
      <c r="H163" s="1182"/>
      <c r="I163" s="1182"/>
      <c r="J163" s="1506"/>
      <c r="K163" s="1163"/>
      <c r="L163" s="185"/>
      <c r="M163" s="186"/>
      <c r="N163" s="186" t="s">
        <v>420</v>
      </c>
      <c r="O163" s="186"/>
      <c r="P163" s="186"/>
      <c r="Q163" s="186"/>
      <c r="R163" s="186"/>
      <c r="S163" s="998"/>
      <c r="T163" s="998"/>
      <c r="U163" s="998"/>
      <c r="V163" s="998"/>
      <c r="W163" s="187"/>
      <c r="Y163" s="17"/>
      <c r="Z163" s="17"/>
      <c r="AA163" s="17"/>
      <c r="AB163" s="17"/>
      <c r="AC163" s="17"/>
      <c r="AD163" s="17"/>
      <c r="AE163" s="17"/>
      <c r="AF163" s="17"/>
      <c r="AG163" s="17"/>
      <c r="AH163" s="17"/>
      <c r="AI163" s="17"/>
      <c r="AJ163" s="17"/>
      <c r="AK163" s="17"/>
    </row>
    <row r="164" spans="1:43" ht="17.25" customHeight="1">
      <c r="G164" s="997"/>
      <c r="H164" s="997"/>
      <c r="I164" s="997"/>
    </row>
    <row r="165" spans="1:43" s="35" customFormat="1" ht="17.25" customHeight="1">
      <c r="A165" s="188"/>
      <c r="C165" s="77"/>
      <c r="D165" s="990"/>
      <c r="E165" s="999"/>
      <c r="F165" s="977"/>
      <c r="G165" s="1000"/>
      <c r="H165" s="990"/>
      <c r="I165" s="990"/>
      <c r="J165" s="1001"/>
      <c r="K165" s="968"/>
      <c r="L165" s="1159"/>
      <c r="M165" s="1159" t="s">
        <v>115</v>
      </c>
      <c r="N165" s="1503" t="str">
        <f>IF(Z165="","",INDEX(TERRITORY_MR_LIST,MATCH(Z165,TERRITORY_LIST_ID,0)))</f>
        <v/>
      </c>
      <c r="O165" s="1220" t="s">
        <v>66</v>
      </c>
      <c r="P165" s="1159"/>
      <c r="Q165" s="1159" t="s">
        <v>115</v>
      </c>
      <c r="R165" s="1490" t="s">
        <v>22</v>
      </c>
      <c r="S165" s="1158" t="s">
        <v>66</v>
      </c>
      <c r="T165" s="43"/>
      <c r="U165" s="43" t="s">
        <v>115</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90"/>
      <c r="E166" s="999"/>
      <c r="F166" s="977"/>
      <c r="G166" s="1000"/>
      <c r="H166" s="990"/>
      <c r="I166" s="990"/>
      <c r="J166" s="1001"/>
      <c r="K166" s="968"/>
      <c r="L166" s="1159"/>
      <c r="M166" s="1159"/>
      <c r="N166" s="1503"/>
      <c r="O166" s="1221"/>
      <c r="P166" s="1159"/>
      <c r="Q166" s="1159"/>
      <c r="R166" s="1490"/>
      <c r="S166" s="1158"/>
      <c r="T166" s="185"/>
      <c r="U166" s="186"/>
      <c r="V166" s="186" t="s">
        <v>418</v>
      </c>
      <c r="W166" s="187"/>
      <c r="Y166" s="17"/>
      <c r="Z166" s="17"/>
      <c r="AA166" s="17"/>
      <c r="AB166" s="17"/>
      <c r="AC166" s="17"/>
      <c r="AD166" s="17"/>
      <c r="AE166" s="17"/>
      <c r="AF166" s="17"/>
      <c r="AG166" s="17"/>
      <c r="AH166" s="17"/>
      <c r="AI166" s="17"/>
      <c r="AJ166" s="17"/>
      <c r="AK166" s="17"/>
    </row>
    <row r="167" spans="1:43" s="35" customFormat="1" ht="17.25" customHeight="1">
      <c r="A167" s="188"/>
      <c r="D167" s="990"/>
      <c r="E167" s="999"/>
      <c r="F167" s="977"/>
      <c r="G167" s="1000"/>
      <c r="H167" s="990"/>
      <c r="I167" s="990"/>
      <c r="J167" s="1001"/>
      <c r="K167" s="968"/>
      <c r="L167" s="1182"/>
      <c r="M167" s="1182"/>
      <c r="N167" s="1504"/>
      <c r="O167" s="1163"/>
      <c r="P167" s="185"/>
      <c r="Q167" s="186"/>
      <c r="R167" s="186" t="s">
        <v>419</v>
      </c>
      <c r="S167" s="998"/>
      <c r="T167" s="998"/>
      <c r="U167" s="998"/>
      <c r="V167" s="998"/>
      <c r="W167" s="187"/>
      <c r="Y167" s="17"/>
      <c r="Z167" s="17"/>
      <c r="AA167" s="17"/>
      <c r="AB167" s="17"/>
      <c r="AC167" s="17"/>
      <c r="AD167" s="17"/>
      <c r="AE167" s="17"/>
      <c r="AF167" s="17"/>
      <c r="AG167" s="17"/>
      <c r="AH167" s="17"/>
      <c r="AI167" s="17"/>
      <c r="AJ167" s="17"/>
      <c r="AK167" s="17"/>
    </row>
    <row r="168" spans="1:43" ht="17.25" customHeight="1">
      <c r="G168" s="997"/>
      <c r="H168" s="997"/>
      <c r="I168" s="997"/>
    </row>
    <row r="169" spans="1:43" s="35" customFormat="1" ht="17.25" customHeight="1">
      <c r="A169" s="188"/>
      <c r="C169" s="77"/>
      <c r="D169" s="990"/>
      <c r="E169" s="999"/>
      <c r="F169" s="977"/>
      <c r="G169" s="1000"/>
      <c r="H169" s="990"/>
      <c r="I169" s="990"/>
      <c r="J169" s="1001"/>
      <c r="K169" s="968"/>
      <c r="L169" s="870"/>
      <c r="M169" s="870"/>
      <c r="N169" s="1082"/>
      <c r="O169" s="978"/>
      <c r="P169" s="1159"/>
      <c r="Q169" s="1159" t="s">
        <v>115</v>
      </c>
      <c r="R169" s="1490" t="s">
        <v>22</v>
      </c>
      <c r="S169" s="1158" t="s">
        <v>66</v>
      </c>
      <c r="T169" s="43"/>
      <c r="U169" s="43" t="s">
        <v>115</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90"/>
      <c r="E170" s="999"/>
      <c r="F170" s="977"/>
      <c r="G170" s="1000"/>
      <c r="H170" s="990"/>
      <c r="I170" s="990"/>
      <c r="J170" s="1001"/>
      <c r="K170" s="968"/>
      <c r="L170" s="870"/>
      <c r="M170" s="870"/>
      <c r="N170" s="1082"/>
      <c r="O170" s="978"/>
      <c r="P170" s="1159"/>
      <c r="Q170" s="1159"/>
      <c r="R170" s="1490"/>
      <c r="S170" s="1158"/>
      <c r="T170" s="185"/>
      <c r="U170" s="186"/>
      <c r="V170" s="186" t="s">
        <v>418</v>
      </c>
      <c r="W170" s="187"/>
      <c r="Y170" s="17"/>
      <c r="Z170" s="17"/>
      <c r="AA170" s="17"/>
      <c r="AB170" s="17"/>
      <c r="AC170" s="17"/>
      <c r="AD170" s="17"/>
      <c r="AE170" s="17"/>
      <c r="AF170" s="17"/>
      <c r="AG170" s="17"/>
      <c r="AH170" s="17"/>
      <c r="AI170" s="17"/>
      <c r="AJ170" s="17"/>
      <c r="AK170" s="17"/>
    </row>
    <row r="171" spans="1:43" ht="17.25" customHeight="1">
      <c r="G171" s="997"/>
      <c r="H171" s="997"/>
      <c r="I171" s="997"/>
    </row>
    <row r="172" spans="1:43" s="35" customFormat="1" ht="17.25" customHeight="1">
      <c r="A172" s="188"/>
      <c r="C172" s="77"/>
      <c r="D172" s="990"/>
      <c r="E172" s="999"/>
      <c r="F172" s="977"/>
      <c r="G172" s="1000"/>
      <c r="H172" s="870"/>
      <c r="I172" s="870"/>
      <c r="J172" s="965"/>
      <c r="K172" s="1000"/>
      <c r="L172" s="870"/>
      <c r="M172" s="870"/>
      <c r="N172" s="1000"/>
      <c r="O172" s="1000"/>
      <c r="P172" s="870"/>
      <c r="Q172" s="870"/>
      <c r="R172" s="966"/>
      <c r="S172" s="1000"/>
      <c r="T172" s="43"/>
      <c r="U172" s="43" t="s">
        <v>115</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4" customFormat="1" ht="17.25" customHeight="1">
      <c r="A174" s="984" t="s">
        <v>1942</v>
      </c>
    </row>
    <row r="175" spans="1:43" ht="17.25" customHeight="1">
      <c r="G175" s="997"/>
      <c r="H175" s="997"/>
      <c r="I175" s="997"/>
    </row>
    <row r="176" spans="1:43" s="35" customFormat="1" ht="17.25" customHeight="1">
      <c r="A176" s="188"/>
      <c r="C176" s="77"/>
      <c r="D176" s="1487"/>
      <c r="E176" s="1170"/>
      <c r="F176" s="1183"/>
      <c r="G176" s="1491"/>
      <c r="H176" s="1487"/>
      <c r="I176" s="1487">
        <v>1</v>
      </c>
      <c r="J176" s="1505"/>
      <c r="K176" s="1220" t="s">
        <v>66</v>
      </c>
      <c r="L176" s="1159"/>
      <c r="M176" s="1159" t="s">
        <v>115</v>
      </c>
      <c r="N176" s="1503" t="str">
        <f>IF(Z176="","",INDEX(TERRITORY_MR_LIST,MATCH(Z176,TERRITORY_LIST_ID,0)))</f>
        <v/>
      </c>
      <c r="O176" s="1220" t="s">
        <v>66</v>
      </c>
      <c r="P176" s="1159"/>
      <c r="Q176" s="1159" t="s">
        <v>115</v>
      </c>
      <c r="R176" s="1490" t="s">
        <v>22</v>
      </c>
      <c r="S176" s="1391" t="s">
        <v>19</v>
      </c>
      <c r="T176" s="816"/>
      <c r="U176" s="816" t="s">
        <v>115</v>
      </c>
      <c r="V176" s="809"/>
      <c r="W176" s="1505"/>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487"/>
      <c r="E177" s="1170"/>
      <c r="F177" s="1184"/>
      <c r="G177" s="1491"/>
      <c r="H177" s="1487"/>
      <c r="I177" s="1487"/>
      <c r="J177" s="1505"/>
      <c r="K177" s="1221"/>
      <c r="L177" s="1159"/>
      <c r="M177" s="1159"/>
      <c r="N177" s="1503"/>
      <c r="O177" s="1221"/>
      <c r="P177" s="1159"/>
      <c r="Q177" s="1159"/>
      <c r="R177" s="1490"/>
      <c r="S177" s="1391"/>
      <c r="T177" s="810"/>
      <c r="U177" s="811"/>
      <c r="V177" s="811"/>
      <c r="W177" s="1505"/>
      <c r="Y177" s="17"/>
      <c r="Z177" s="17"/>
      <c r="AA177" s="17"/>
      <c r="AB177" s="17"/>
      <c r="AC177" s="17"/>
      <c r="AD177" s="17"/>
      <c r="AE177" s="17"/>
      <c r="AF177" s="17"/>
      <c r="AG177" s="17"/>
      <c r="AH177" s="17"/>
      <c r="AI177" s="17"/>
      <c r="AJ177" s="17"/>
      <c r="AK177" s="17"/>
    </row>
    <row r="178" spans="1:43" s="35" customFormat="1" ht="17.25" customHeight="1">
      <c r="A178" s="188"/>
      <c r="D178" s="1182"/>
      <c r="E178" s="1171"/>
      <c r="F178" s="1184"/>
      <c r="G178" s="1492"/>
      <c r="H178" s="1182"/>
      <c r="I178" s="1182"/>
      <c r="J178" s="1506"/>
      <c r="K178" s="1221"/>
      <c r="L178" s="1182"/>
      <c r="M178" s="1182"/>
      <c r="N178" s="1504"/>
      <c r="O178" s="1163"/>
      <c r="P178" s="185"/>
      <c r="Q178" s="186"/>
      <c r="R178" s="186" t="s">
        <v>419</v>
      </c>
      <c r="S178" s="998"/>
      <c r="T178" s="998"/>
      <c r="U178" s="998"/>
      <c r="V178" s="998"/>
      <c r="W178" s="808"/>
      <c r="Y178" s="17"/>
      <c r="Z178" s="17"/>
      <c r="AA178" s="17"/>
      <c r="AB178" s="17"/>
      <c r="AC178" s="17"/>
      <c r="AD178" s="17"/>
      <c r="AE178" s="17"/>
      <c r="AF178" s="17"/>
      <c r="AG178" s="17"/>
      <c r="AH178" s="17"/>
      <c r="AI178" s="17"/>
      <c r="AJ178" s="17"/>
      <c r="AK178" s="17"/>
    </row>
    <row r="179" spans="1:43" s="35" customFormat="1" ht="17.25" customHeight="1">
      <c r="A179" s="188"/>
      <c r="D179" s="1182"/>
      <c r="E179" s="1171"/>
      <c r="F179" s="1184"/>
      <c r="G179" s="1492"/>
      <c r="H179" s="1182"/>
      <c r="I179" s="1182"/>
      <c r="J179" s="1506"/>
      <c r="K179" s="1163"/>
      <c r="L179" s="185"/>
      <c r="M179" s="186"/>
      <c r="N179" s="186" t="s">
        <v>420</v>
      </c>
      <c r="O179" s="186"/>
      <c r="P179" s="186"/>
      <c r="Q179" s="186"/>
      <c r="R179" s="186"/>
      <c r="S179" s="998"/>
      <c r="T179" s="998"/>
      <c r="U179" s="998"/>
      <c r="V179" s="998"/>
      <c r="W179" s="187"/>
      <c r="Y179" s="17"/>
      <c r="Z179" s="17"/>
      <c r="AA179" s="17"/>
      <c r="AB179" s="17"/>
      <c r="AC179" s="17"/>
      <c r="AD179" s="17"/>
      <c r="AE179" s="17"/>
      <c r="AF179" s="17"/>
      <c r="AG179" s="17"/>
      <c r="AH179" s="17"/>
      <c r="AI179" s="17"/>
      <c r="AJ179" s="17"/>
      <c r="AK179" s="17"/>
    </row>
    <row r="180" spans="1:43" s="35" customFormat="1" ht="17.25" customHeight="1">
      <c r="A180" s="188"/>
      <c r="D180" s="1182"/>
      <c r="E180" s="1171"/>
      <c r="F180" s="1185"/>
      <c r="G180" s="1492"/>
      <c r="H180" s="185"/>
      <c r="I180" s="186"/>
      <c r="J180" s="186" t="s">
        <v>452</v>
      </c>
      <c r="K180" s="186"/>
      <c r="L180" s="186"/>
      <c r="M180" s="186"/>
      <c r="N180" s="186"/>
      <c r="O180" s="186"/>
      <c r="P180" s="186"/>
      <c r="Q180" s="186"/>
      <c r="R180" s="186"/>
      <c r="S180" s="998"/>
      <c r="T180" s="998"/>
      <c r="U180" s="998"/>
      <c r="V180" s="998"/>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90"/>
      <c r="E182" s="999"/>
      <c r="F182" s="977"/>
      <c r="G182" s="1000"/>
      <c r="H182" s="1487"/>
      <c r="I182" s="1487">
        <v>1</v>
      </c>
      <c r="J182" s="1505"/>
      <c r="K182" s="1220" t="s">
        <v>66</v>
      </c>
      <c r="L182" s="1159"/>
      <c r="M182" s="1159" t="s">
        <v>115</v>
      </c>
      <c r="N182" s="1503" t="str">
        <f>IF(Z182="","",INDEX(TERRITORY_MR_LIST,MATCH(Z182,TERRITORY_LIST_ID,0)))</f>
        <v/>
      </c>
      <c r="O182" s="1220" t="s">
        <v>66</v>
      </c>
      <c r="P182" s="1159"/>
      <c r="Q182" s="1159" t="s">
        <v>115</v>
      </c>
      <c r="R182" s="1490" t="s">
        <v>22</v>
      </c>
      <c r="S182" s="1391" t="s">
        <v>19</v>
      </c>
      <c r="T182" s="816"/>
      <c r="U182" s="816" t="s">
        <v>115</v>
      </c>
      <c r="V182" s="809"/>
      <c r="W182" s="1505"/>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90"/>
      <c r="E183" s="999"/>
      <c r="F183" s="977"/>
      <c r="G183" s="1000"/>
      <c r="H183" s="1487"/>
      <c r="I183" s="1487"/>
      <c r="J183" s="1505"/>
      <c r="K183" s="1221"/>
      <c r="L183" s="1159"/>
      <c r="M183" s="1159"/>
      <c r="N183" s="1503"/>
      <c r="O183" s="1221"/>
      <c r="P183" s="1159"/>
      <c r="Q183" s="1159"/>
      <c r="R183" s="1490"/>
      <c r="S183" s="1391"/>
      <c r="T183" s="810"/>
      <c r="U183" s="811"/>
      <c r="V183" s="811"/>
      <c r="W183" s="1505"/>
      <c r="Y183" s="17"/>
      <c r="Z183" s="17"/>
      <c r="AA183" s="17"/>
      <c r="AB183" s="17"/>
      <c r="AC183" s="17"/>
      <c r="AD183" s="17"/>
      <c r="AE183" s="17"/>
      <c r="AF183" s="17"/>
      <c r="AG183" s="17"/>
      <c r="AH183" s="17"/>
      <c r="AI183" s="17"/>
      <c r="AJ183" s="17"/>
      <c r="AK183" s="17"/>
    </row>
    <row r="184" spans="1:43" s="35" customFormat="1" ht="17.25" customHeight="1">
      <c r="A184" s="188"/>
      <c r="D184" s="990"/>
      <c r="E184" s="999"/>
      <c r="F184" s="977"/>
      <c r="G184" s="1000"/>
      <c r="H184" s="1182"/>
      <c r="I184" s="1182"/>
      <c r="J184" s="1506"/>
      <c r="K184" s="1221"/>
      <c r="L184" s="1182"/>
      <c r="M184" s="1182"/>
      <c r="N184" s="1504"/>
      <c r="O184" s="1163"/>
      <c r="P184" s="185"/>
      <c r="Q184" s="186"/>
      <c r="R184" s="186" t="s">
        <v>419</v>
      </c>
      <c r="S184" s="998"/>
      <c r="T184" s="998"/>
      <c r="U184" s="998"/>
      <c r="V184" s="998"/>
      <c r="W184" s="808"/>
      <c r="Y184" s="17"/>
      <c r="Z184" s="17"/>
      <c r="AA184" s="17"/>
      <c r="AB184" s="17"/>
      <c r="AC184" s="17"/>
      <c r="AD184" s="17"/>
      <c r="AE184" s="17"/>
      <c r="AF184" s="17"/>
      <c r="AG184" s="17"/>
      <c r="AH184" s="17"/>
      <c r="AI184" s="17"/>
      <c r="AJ184" s="17"/>
      <c r="AK184" s="17"/>
    </row>
    <row r="185" spans="1:43" s="35" customFormat="1" ht="17.25" customHeight="1">
      <c r="A185" s="188"/>
      <c r="D185" s="990"/>
      <c r="E185" s="999"/>
      <c r="F185" s="977"/>
      <c r="G185" s="1000"/>
      <c r="H185" s="1182"/>
      <c r="I185" s="1182"/>
      <c r="J185" s="1506"/>
      <c r="K185" s="1163"/>
      <c r="L185" s="185"/>
      <c r="M185" s="186"/>
      <c r="N185" s="186" t="s">
        <v>420</v>
      </c>
      <c r="O185" s="186"/>
      <c r="P185" s="186"/>
      <c r="Q185" s="186"/>
      <c r="R185" s="186"/>
      <c r="S185" s="998"/>
      <c r="T185" s="998"/>
      <c r="U185" s="998"/>
      <c r="V185" s="998"/>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90"/>
      <c r="E187" s="999"/>
      <c r="F187" s="977"/>
      <c r="G187" s="1000"/>
      <c r="H187" s="990"/>
      <c r="I187" s="990"/>
      <c r="J187" s="1002"/>
      <c r="K187" s="1000"/>
      <c r="L187" s="1159"/>
      <c r="M187" s="1159" t="s">
        <v>115</v>
      </c>
      <c r="N187" s="1503" t="str">
        <f>IF(Z187="","",INDEX(TERRITORY_MR_LIST,MATCH(Z187,TERRITORY_LIST_ID,0)))</f>
        <v/>
      </c>
      <c r="O187" s="1220" t="s">
        <v>66</v>
      </c>
      <c r="P187" s="1159"/>
      <c r="Q187" s="1159" t="s">
        <v>115</v>
      </c>
      <c r="R187" s="1490" t="s">
        <v>22</v>
      </c>
      <c r="S187" s="1391" t="s">
        <v>19</v>
      </c>
      <c r="T187" s="816"/>
      <c r="U187" s="816" t="s">
        <v>115</v>
      </c>
      <c r="V187" s="809"/>
      <c r="W187" s="1505"/>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90"/>
      <c r="E188" s="999"/>
      <c r="F188" s="977"/>
      <c r="G188" s="1000"/>
      <c r="H188" s="990"/>
      <c r="I188" s="990"/>
      <c r="J188" s="1002"/>
      <c r="K188" s="1000"/>
      <c r="L188" s="1159"/>
      <c r="M188" s="1159"/>
      <c r="N188" s="1503"/>
      <c r="O188" s="1221"/>
      <c r="P188" s="1159"/>
      <c r="Q188" s="1159"/>
      <c r="R188" s="1490"/>
      <c r="S188" s="1391"/>
      <c r="T188" s="810"/>
      <c r="U188" s="811"/>
      <c r="V188" s="811"/>
      <c r="W188" s="1505"/>
      <c r="Y188" s="17"/>
      <c r="Z188" s="17"/>
      <c r="AA188" s="17"/>
      <c r="AB188" s="17"/>
      <c r="AC188" s="17"/>
      <c r="AD188" s="17"/>
      <c r="AE188" s="17"/>
      <c r="AF188" s="17"/>
      <c r="AG188" s="17"/>
      <c r="AH188" s="17"/>
      <c r="AI188" s="17"/>
      <c r="AJ188" s="17"/>
      <c r="AK188" s="17"/>
    </row>
    <row r="189" spans="1:43" s="35" customFormat="1" ht="17.25" customHeight="1">
      <c r="A189" s="188"/>
      <c r="D189" s="990"/>
      <c r="E189" s="999"/>
      <c r="F189" s="977"/>
      <c r="G189" s="1000"/>
      <c r="H189" s="990"/>
      <c r="I189" s="990"/>
      <c r="J189" s="1002"/>
      <c r="K189" s="1000"/>
      <c r="L189" s="1182"/>
      <c r="M189" s="1182"/>
      <c r="N189" s="1504"/>
      <c r="O189" s="1163"/>
      <c r="P189" s="185"/>
      <c r="Q189" s="186"/>
      <c r="R189" s="186" t="s">
        <v>419</v>
      </c>
      <c r="S189" s="998"/>
      <c r="T189" s="998"/>
      <c r="U189" s="998"/>
      <c r="V189" s="998"/>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90"/>
      <c r="E191" s="999"/>
      <c r="F191" s="977"/>
      <c r="G191" s="1000"/>
      <c r="H191" s="990"/>
      <c r="I191" s="990"/>
      <c r="J191" s="1002"/>
      <c r="K191" s="1000"/>
      <c r="L191" s="990"/>
      <c r="M191" s="990"/>
      <c r="N191" s="1082"/>
      <c r="O191" s="978"/>
      <c r="P191" s="1159"/>
      <c r="Q191" s="1159" t="s">
        <v>115</v>
      </c>
      <c r="R191" s="1490" t="s">
        <v>22</v>
      </c>
      <c r="S191" s="1391" t="s">
        <v>19</v>
      </c>
      <c r="T191" s="816"/>
      <c r="U191" s="816" t="s">
        <v>115</v>
      </c>
      <c r="V191" s="809"/>
      <c r="W191" s="1505"/>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90"/>
      <c r="E192" s="999"/>
      <c r="F192" s="977"/>
      <c r="G192" s="1000"/>
      <c r="H192" s="990"/>
      <c r="I192" s="990"/>
      <c r="J192" s="1002"/>
      <c r="K192" s="1000"/>
      <c r="L192" s="990"/>
      <c r="M192" s="990"/>
      <c r="N192" s="1082"/>
      <c r="O192" s="978"/>
      <c r="P192" s="1159"/>
      <c r="Q192" s="1159"/>
      <c r="R192" s="1490"/>
      <c r="S192" s="1391"/>
      <c r="T192" s="810"/>
      <c r="U192" s="811"/>
      <c r="V192" s="811"/>
      <c r="W192" s="1505"/>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487"/>
      <c r="E194" s="1217"/>
      <c r="F194" s="1217"/>
      <c r="G194" s="1148"/>
      <c r="H194" s="1172"/>
      <c r="I194" s="1174"/>
      <c r="J194" s="1176"/>
      <c r="K194" s="1168"/>
      <c r="L194" s="1168"/>
      <c r="M194" s="1168"/>
      <c r="N194" s="1179"/>
      <c r="O194" s="1168"/>
      <c r="P194" s="1168"/>
      <c r="Q194" s="1168"/>
      <c r="R194" s="1166"/>
      <c r="S194" s="1168"/>
      <c r="T194" s="804"/>
      <c r="U194" s="804"/>
      <c r="V194" s="803"/>
      <c r="W194" s="746"/>
    </row>
    <row r="195" spans="1:63" ht="16.5" customHeight="1">
      <c r="A195" s="188"/>
      <c r="B195" s="35"/>
      <c r="C195" s="35"/>
      <c r="D195" s="1487"/>
      <c r="E195" s="1217"/>
      <c r="F195" s="1217"/>
      <c r="G195" s="1148"/>
      <c r="H195" s="1173"/>
      <c r="I195" s="1175"/>
      <c r="J195" s="1177"/>
      <c r="K195" s="1169"/>
      <c r="L195" s="1169"/>
      <c r="M195" s="1169"/>
      <c r="N195" s="1180"/>
      <c r="O195" s="1169"/>
      <c r="P195" s="1169"/>
      <c r="Q195" s="1169"/>
      <c r="R195" s="1167"/>
      <c r="S195" s="1169"/>
      <c r="T195" s="747"/>
      <c r="U195" s="747"/>
      <c r="V195" s="747"/>
      <c r="W195" s="748"/>
    </row>
    <row r="196" spans="1:63" ht="17.25" customHeight="1">
      <c r="A196" s="188"/>
      <c r="B196" s="35"/>
      <c r="C196" s="35"/>
      <c r="D196" s="1487"/>
      <c r="E196" s="1217"/>
      <c r="F196" s="1217"/>
      <c r="G196" s="1148"/>
      <c r="H196" s="1173"/>
      <c r="I196" s="1175"/>
      <c r="J196" s="1178"/>
      <c r="K196" s="1169"/>
      <c r="L196" s="1169"/>
      <c r="M196" s="1169"/>
      <c r="N196" s="1167"/>
      <c r="O196" s="1169"/>
      <c r="P196" s="55"/>
      <c r="Q196" s="747"/>
      <c r="R196" s="747"/>
      <c r="S196" s="35"/>
      <c r="T196" s="35"/>
      <c r="U196" s="35"/>
      <c r="V196" s="35"/>
      <c r="W196" s="748"/>
    </row>
    <row r="197" spans="1:63" ht="17.25" customHeight="1">
      <c r="A197" s="188"/>
      <c r="B197" s="35"/>
      <c r="C197" s="35"/>
      <c r="D197" s="1487"/>
      <c r="E197" s="1217"/>
      <c r="F197" s="1217"/>
      <c r="G197" s="1148"/>
      <c r="H197" s="1173"/>
      <c r="I197" s="1175"/>
      <c r="J197" s="1178"/>
      <c r="K197" s="1169"/>
      <c r="L197" s="747"/>
      <c r="M197" s="747"/>
      <c r="N197" s="747"/>
      <c r="O197" s="747"/>
      <c r="P197" s="747"/>
      <c r="Q197" s="747"/>
      <c r="R197" s="747"/>
      <c r="S197" s="35"/>
      <c r="T197" s="35"/>
      <c r="U197" s="35"/>
      <c r="V197" s="35"/>
      <c r="W197" s="748"/>
    </row>
    <row r="198" spans="1:63" ht="17.25" customHeight="1">
      <c r="A198" s="188"/>
      <c r="B198" s="35"/>
      <c r="C198" s="35"/>
      <c r="D198" s="1487"/>
      <c r="E198" s="1217"/>
      <c r="F198" s="1217"/>
      <c r="G198" s="1148"/>
      <c r="H198" s="749"/>
      <c r="I198" s="750"/>
      <c r="J198" s="750"/>
      <c r="K198" s="750"/>
      <c r="L198" s="750"/>
      <c r="M198" s="750"/>
      <c r="N198" s="750"/>
      <c r="O198" s="750"/>
      <c r="P198" s="750"/>
      <c r="Q198" s="750"/>
      <c r="R198" s="750"/>
      <c r="S198" s="751"/>
      <c r="T198" s="751"/>
      <c r="U198" s="751"/>
      <c r="V198" s="751"/>
      <c r="W198" s="752"/>
    </row>
    <row r="200" spans="1:63" s="984" customFormat="1" ht="17.25" customHeight="1">
      <c r="A200" s="984" t="s">
        <v>1943</v>
      </c>
    </row>
    <row r="201" spans="1:63" ht="17.25" customHeight="1">
      <c r="G201" s="997"/>
      <c r="H201" s="997"/>
      <c r="I201" s="997"/>
    </row>
    <row r="202" spans="1:63" ht="15" customHeight="1">
      <c r="D202" s="1529"/>
      <c r="E202" s="1212"/>
      <c r="F202" s="1212"/>
      <c r="G202" s="1220"/>
      <c r="H202" s="868"/>
      <c r="I202" s="1530">
        <v>1</v>
      </c>
      <c r="J202" s="1505"/>
      <c r="K202" s="154"/>
      <c r="L202" s="1220" t="s">
        <v>66</v>
      </c>
      <c r="M202" s="1220" t="s">
        <v>66</v>
      </c>
      <c r="N202" s="868"/>
      <c r="O202" s="1159" t="s">
        <v>115</v>
      </c>
      <c r="P202" s="1536"/>
      <c r="Q202" s="154"/>
      <c r="R202" s="1220" t="s">
        <v>66</v>
      </c>
      <c r="S202" s="1220" t="s">
        <v>66</v>
      </c>
      <c r="T202" s="1003"/>
      <c r="U202" s="1159" t="s">
        <v>115</v>
      </c>
      <c r="V202" s="1526" t="str">
        <f>IF(AK202="","",INDEX(TERRITORY_MR_LIST,MATCH(AK202,TERRITORY_LIST_ID,0)))</f>
        <v/>
      </c>
      <c r="W202" s="349"/>
      <c r="X202" s="1220" t="s">
        <v>66</v>
      </c>
      <c r="Y202" s="1220" t="s">
        <v>19</v>
      </c>
      <c r="Z202" s="868"/>
      <c r="AA202" s="1159" t="s">
        <v>115</v>
      </c>
      <c r="AB202" s="1528"/>
      <c r="AC202" s="878"/>
      <c r="AD202" s="1220" t="s">
        <v>66</v>
      </c>
      <c r="AE202" s="1220" t="s">
        <v>19</v>
      </c>
      <c r="AF202" s="349"/>
      <c r="AG202" s="43" t="s">
        <v>115</v>
      </c>
      <c r="AH202" s="874"/>
      <c r="AI202" s="37"/>
    </row>
    <row r="203" spans="1:63" ht="15" customHeight="1">
      <c r="D203" s="1529"/>
      <c r="E203" s="1212"/>
      <c r="F203" s="1212"/>
      <c r="G203" s="1221"/>
      <c r="H203" s="868"/>
      <c r="I203" s="1530"/>
      <c r="J203" s="1505"/>
      <c r="K203" s="867"/>
      <c r="L203" s="1221"/>
      <c r="M203" s="1221"/>
      <c r="N203" s="868"/>
      <c r="O203" s="1159"/>
      <c r="P203" s="1536"/>
      <c r="Q203" s="865"/>
      <c r="R203" s="1221"/>
      <c r="S203" s="1221"/>
      <c r="T203" s="1003"/>
      <c r="U203" s="1159"/>
      <c r="V203" s="1527"/>
      <c r="W203" s="866"/>
      <c r="X203" s="1221"/>
      <c r="Y203" s="1221"/>
      <c r="Z203" s="868"/>
      <c r="AA203" s="1159"/>
      <c r="AB203" s="1458"/>
      <c r="AC203" s="599"/>
      <c r="AD203" s="1163"/>
      <c r="AE203" s="1163"/>
      <c r="AF203" s="869"/>
      <c r="AG203" s="185"/>
      <c r="AH203" s="1532" t="s">
        <v>1944</v>
      </c>
      <c r="AI203" s="1533"/>
    </row>
    <row r="204" spans="1:63" ht="15" customHeight="1">
      <c r="D204" s="1529"/>
      <c r="E204" s="1212"/>
      <c r="F204" s="1212"/>
      <c r="G204" s="1221"/>
      <c r="H204" s="868"/>
      <c r="I204" s="1530"/>
      <c r="J204" s="1505"/>
      <c r="K204" s="867"/>
      <c r="L204" s="1221"/>
      <c r="M204" s="1221"/>
      <c r="N204" s="868"/>
      <c r="O204" s="1159"/>
      <c r="P204" s="1536"/>
      <c r="Q204" s="865"/>
      <c r="R204" s="1221"/>
      <c r="S204" s="1221"/>
      <c r="T204" s="1003"/>
      <c r="U204" s="1159"/>
      <c r="V204" s="1527"/>
      <c r="W204" s="866"/>
      <c r="X204" s="1221"/>
      <c r="Y204" s="1221"/>
      <c r="Z204" s="866"/>
      <c r="AA204" s="871"/>
      <c r="AB204" s="1534" t="s">
        <v>1945</v>
      </c>
      <c r="AC204" s="1534"/>
      <c r="AD204" s="1534"/>
      <c r="AE204" s="1534"/>
      <c r="AF204" s="1534"/>
      <c r="AG204" s="1534"/>
      <c r="AH204" s="1534"/>
      <c r="AI204" s="1535"/>
    </row>
    <row r="205" spans="1:63" ht="15" customHeight="1">
      <c r="D205" s="1529"/>
      <c r="E205" s="1212"/>
      <c r="F205" s="1212"/>
      <c r="G205" s="1221"/>
      <c r="H205" s="868"/>
      <c r="I205" s="1530"/>
      <c r="J205" s="1505"/>
      <c r="K205" s="867"/>
      <c r="L205" s="1221"/>
      <c r="M205" s="1221"/>
      <c r="N205" s="868"/>
      <c r="O205" s="1159"/>
      <c r="P205" s="1537"/>
      <c r="Q205" s="865"/>
      <c r="R205" s="1221"/>
      <c r="S205" s="1221"/>
      <c r="T205" s="1004"/>
      <c r="U205" s="889"/>
      <c r="V205" s="1532" t="s">
        <v>109</v>
      </c>
      <c r="W205" s="1532"/>
      <c r="X205" s="1532"/>
      <c r="Y205" s="1532"/>
      <c r="Z205" s="1532"/>
      <c r="AA205" s="1532"/>
      <c r="AB205" s="1532"/>
      <c r="AC205" s="1532"/>
      <c r="AD205" s="1532"/>
      <c r="AE205" s="1532"/>
      <c r="AF205" s="1532"/>
      <c r="AG205" s="1532"/>
      <c r="AH205" s="1532"/>
      <c r="AI205" s="1533"/>
    </row>
    <row r="206" spans="1:63" ht="11.25" customHeight="1">
      <c r="D206" s="1529"/>
      <c r="E206" s="1212"/>
      <c r="F206" s="1212"/>
      <c r="G206" s="1221"/>
      <c r="H206" s="870"/>
      <c r="I206" s="1530"/>
      <c r="J206" s="1531"/>
      <c r="K206" s="867"/>
      <c r="L206" s="1221"/>
      <c r="M206" s="1221"/>
      <c r="N206" s="870"/>
      <c r="O206" s="871"/>
      <c r="P206" s="1532" t="s">
        <v>1946</v>
      </c>
      <c r="Q206" s="1532"/>
      <c r="R206" s="1532"/>
      <c r="S206" s="1532"/>
      <c r="T206" s="1532"/>
      <c r="U206" s="1532"/>
      <c r="V206" s="1532"/>
      <c r="W206" s="1532"/>
      <c r="X206" s="1532"/>
      <c r="Y206" s="1532"/>
      <c r="Z206" s="1532"/>
      <c r="AA206" s="1532"/>
      <c r="AB206" s="1532"/>
      <c r="AC206" s="1532"/>
      <c r="AD206" s="1532"/>
      <c r="AE206" s="1532"/>
      <c r="AF206" s="1532"/>
      <c r="AG206" s="1532"/>
      <c r="AH206" s="1532"/>
      <c r="AI206" s="1533"/>
    </row>
    <row r="207" spans="1:63" s="860" customFormat="1" ht="11.25" customHeight="1">
      <c r="D207" s="1529"/>
      <c r="E207" s="1212"/>
      <c r="F207" s="1212"/>
      <c r="G207" s="1163"/>
      <c r="H207" s="872"/>
      <c r="I207" s="873"/>
      <c r="J207" s="1532" t="s">
        <v>452</v>
      </c>
      <c r="K207" s="1532"/>
      <c r="L207" s="1532"/>
      <c r="M207" s="1532"/>
      <c r="N207" s="1532"/>
      <c r="O207" s="1532"/>
      <c r="P207" s="1532"/>
      <c r="Q207" s="1532"/>
      <c r="R207" s="1532"/>
      <c r="S207" s="1532"/>
      <c r="T207" s="1532"/>
      <c r="U207" s="1532"/>
      <c r="V207" s="1532"/>
      <c r="W207" s="1532"/>
      <c r="X207" s="1532"/>
      <c r="Y207" s="1532"/>
      <c r="Z207" s="1532"/>
      <c r="AA207" s="1532"/>
      <c r="AB207" s="1532"/>
      <c r="AC207" s="1532"/>
      <c r="AD207" s="1532"/>
      <c r="AE207" s="1532"/>
      <c r="AF207" s="1532"/>
      <c r="AG207" s="1532"/>
      <c r="AH207" s="1532"/>
      <c r="AI207" s="1533"/>
      <c r="BK207"/>
    </row>
    <row r="208" spans="1:63" ht="17.25" customHeight="1">
      <c r="G208" s="997"/>
      <c r="I208" s="997"/>
      <c r="J208" s="997"/>
    </row>
    <row r="209" spans="4:63" ht="15" customHeight="1">
      <c r="D209" s="1529"/>
      <c r="E209" s="1212"/>
      <c r="F209" s="1212"/>
      <c r="G209" s="1217"/>
      <c r="H209" s="885"/>
      <c r="I209" s="1222"/>
      <c r="J209" s="1176"/>
      <c r="K209" s="833"/>
      <c r="L209" s="1168"/>
      <c r="M209" s="1168"/>
      <c r="N209" s="879"/>
      <c r="O209" s="1168"/>
      <c r="P209" s="1176"/>
      <c r="Q209" s="833"/>
      <c r="R209" s="1168"/>
      <c r="S209" s="1168"/>
      <c r="T209" s="880"/>
      <c r="U209" s="1168"/>
      <c r="V209" s="1176"/>
      <c r="W209" s="804"/>
      <c r="X209" s="1168"/>
      <c r="Y209" s="1168"/>
      <c r="Z209" s="879"/>
      <c r="AA209" s="1168"/>
      <c r="AB209" s="1176"/>
      <c r="AC209" s="881"/>
      <c r="AD209" s="1168"/>
      <c r="AE209" s="1168"/>
      <c r="AF209" s="804"/>
      <c r="AG209" s="804"/>
      <c r="AH209" s="879"/>
      <c r="AI209" s="746"/>
    </row>
    <row r="210" spans="4:63" ht="15" customHeight="1">
      <c r="D210" s="1529"/>
      <c r="E210" s="1212"/>
      <c r="F210" s="1212"/>
      <c r="G210" s="1217"/>
      <c r="H210" s="886"/>
      <c r="I210" s="1223"/>
      <c r="J210" s="1177"/>
      <c r="K210" s="342"/>
      <c r="L210" s="1169"/>
      <c r="M210" s="1169"/>
      <c r="N210" s="33"/>
      <c r="O210" s="1169"/>
      <c r="P210" s="1177"/>
      <c r="Q210" s="383"/>
      <c r="R210" s="1169"/>
      <c r="S210" s="1169"/>
      <c r="T210" s="882"/>
      <c r="U210" s="1169"/>
      <c r="V210" s="1177"/>
      <c r="W210" s="55"/>
      <c r="X210" s="1169"/>
      <c r="Y210" s="1169"/>
      <c r="Z210" s="33"/>
      <c r="AA210" s="1169"/>
      <c r="AB210" s="1177"/>
      <c r="AC210" s="342"/>
      <c r="AD210" s="1169"/>
      <c r="AE210" s="1169"/>
      <c r="AF210" s="747"/>
      <c r="AG210" s="747"/>
      <c r="AH210" s="1226"/>
      <c r="AI210" s="1227"/>
    </row>
    <row r="211" spans="4:63" ht="15" customHeight="1">
      <c r="D211" s="1529"/>
      <c r="E211" s="1212"/>
      <c r="F211" s="1212"/>
      <c r="G211" s="1217"/>
      <c r="H211" s="886"/>
      <c r="I211" s="1223"/>
      <c r="J211" s="1177"/>
      <c r="K211" s="342"/>
      <c r="L211" s="1169"/>
      <c r="M211" s="1169"/>
      <c r="N211" s="33"/>
      <c r="O211" s="1169"/>
      <c r="P211" s="1177"/>
      <c r="Q211" s="383"/>
      <c r="R211" s="1169"/>
      <c r="S211" s="1169"/>
      <c r="T211" s="882"/>
      <c r="U211" s="1169"/>
      <c r="V211" s="1177"/>
      <c r="W211" s="55"/>
      <c r="X211" s="1169"/>
      <c r="Y211" s="1169"/>
      <c r="Z211" s="55"/>
      <c r="AA211" s="747"/>
      <c r="AB211" s="1226"/>
      <c r="AC211" s="1226"/>
      <c r="AD211" s="1226"/>
      <c r="AE211" s="1226"/>
      <c r="AF211" s="1226"/>
      <c r="AG211" s="1226"/>
      <c r="AH211" s="1226"/>
      <c r="AI211" s="1227"/>
    </row>
    <row r="212" spans="4:63" ht="15" customHeight="1">
      <c r="D212" s="1529"/>
      <c r="E212" s="1212"/>
      <c r="F212" s="1212"/>
      <c r="G212" s="1217"/>
      <c r="H212" s="886"/>
      <c r="I212" s="1223"/>
      <c r="J212" s="1177"/>
      <c r="K212" s="342"/>
      <c r="L212" s="1169"/>
      <c r="M212" s="1169"/>
      <c r="N212" s="33"/>
      <c r="O212" s="1169"/>
      <c r="P212" s="1177"/>
      <c r="Q212" s="383"/>
      <c r="R212" s="1169"/>
      <c r="S212" s="1169"/>
      <c r="T212" s="50"/>
      <c r="U212" s="883"/>
      <c r="V212" s="1226"/>
      <c r="W212" s="1226"/>
      <c r="X212" s="1226"/>
      <c r="Y212" s="1226"/>
      <c r="Z212" s="1226"/>
      <c r="AA212" s="1226"/>
      <c r="AB212" s="1226"/>
      <c r="AC212" s="1226"/>
      <c r="AD212" s="1226"/>
      <c r="AE212" s="1226"/>
      <c r="AF212" s="1226"/>
      <c r="AG212" s="1226"/>
      <c r="AH212" s="1226"/>
      <c r="AI212" s="1227"/>
    </row>
    <row r="213" spans="4:63" ht="11.25" customHeight="1">
      <c r="D213" s="1529"/>
      <c r="E213" s="1212"/>
      <c r="F213" s="1212"/>
      <c r="G213" s="1217"/>
      <c r="H213" s="887"/>
      <c r="I213" s="1223"/>
      <c r="J213" s="1177"/>
      <c r="K213" s="342"/>
      <c r="L213" s="1169"/>
      <c r="M213" s="1169"/>
      <c r="N213" s="747"/>
      <c r="O213" s="747"/>
      <c r="P213" s="1226"/>
      <c r="Q213" s="1226"/>
      <c r="R213" s="1226"/>
      <c r="S213" s="1226"/>
      <c r="T213" s="1226"/>
      <c r="U213" s="1226"/>
      <c r="V213" s="1226"/>
      <c r="W213" s="1226"/>
      <c r="X213" s="1226"/>
      <c r="Y213" s="1226"/>
      <c r="Z213" s="1226"/>
      <c r="AA213" s="1226"/>
      <c r="AB213" s="1226"/>
      <c r="AC213" s="1226"/>
      <c r="AD213" s="1226"/>
      <c r="AE213" s="1226"/>
      <c r="AF213" s="1226"/>
      <c r="AG213" s="1226"/>
      <c r="AH213" s="1226"/>
      <c r="AI213" s="1227"/>
    </row>
    <row r="214" spans="4:63" s="860" customFormat="1" ht="11.25" customHeight="1">
      <c r="D214" s="1529"/>
      <c r="E214" s="1212"/>
      <c r="F214" s="1212"/>
      <c r="G214" s="1228"/>
      <c r="H214" s="884"/>
      <c r="I214" s="888"/>
      <c r="J214" s="1224"/>
      <c r="K214" s="1224"/>
      <c r="L214" s="1224"/>
      <c r="M214" s="1224"/>
      <c r="N214" s="1224"/>
      <c r="O214" s="1224"/>
      <c r="P214" s="1224"/>
      <c r="Q214" s="1224"/>
      <c r="R214" s="1224"/>
      <c r="S214" s="1224"/>
      <c r="T214" s="1224"/>
      <c r="U214" s="1224"/>
      <c r="V214" s="1224"/>
      <c r="W214" s="1224"/>
      <c r="X214" s="1224"/>
      <c r="Y214" s="1224"/>
      <c r="Z214" s="1224"/>
      <c r="AA214" s="1224"/>
      <c r="AB214" s="1224"/>
      <c r="AC214" s="1224"/>
      <c r="AD214" s="1224"/>
      <c r="AE214" s="1224"/>
      <c r="AF214" s="1224"/>
      <c r="AG214" s="1224"/>
      <c r="AH214" s="1224"/>
      <c r="AI214" s="1225"/>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10376-364F-1295-05BF-E8BC03FA4E5B}">
  <sheetPr>
    <tabColor rgb="FFFFCC99"/>
  </sheetPr>
  <dimension ref="A1:H34"/>
  <sheetViews>
    <sheetView showGridLines="0" workbookViewId="0"/>
  </sheetViews>
  <sheetFormatPr defaultColWidth="43.140625" defaultRowHeight="9" customHeight="1"/>
  <cols>
    <col min="1" max="1" width="43.140625" style="477"/>
    <col min="2" max="2" width="43.140625" style="477" hidden="1"/>
    <col min="3" max="3" width="43.140625" style="477"/>
    <col min="4" max="5" width="36.42578125" style="477" customWidth="1"/>
    <col min="6" max="8" width="36.42578125" style="566" customWidth="1"/>
  </cols>
  <sheetData>
    <row r="1" spans="1:8" ht="9" customHeight="1">
      <c r="A1" s="483" t="s">
        <v>1947</v>
      </c>
      <c r="B1" s="483"/>
      <c r="C1" s="567" t="s">
        <v>1948</v>
      </c>
      <c r="D1" s="565" t="s">
        <v>811</v>
      </c>
      <c r="E1" s="565" t="s">
        <v>857</v>
      </c>
      <c r="F1" s="565" t="s">
        <v>910</v>
      </c>
      <c r="G1" s="565" t="s">
        <v>897</v>
      </c>
      <c r="H1" s="565" t="s">
        <v>1623</v>
      </c>
    </row>
    <row r="2" spans="1:8" ht="9" customHeight="1">
      <c r="A2" s="568" t="s">
        <v>1949</v>
      </c>
      <c r="B2" s="568"/>
      <c r="C2" s="569" t="str">
        <f>INDEX(TEMPLATE_NUMBER_FORM_LIST,MATCH(TEMPLATE_SPHERE,TEMPLATE_SPHERE_LIST,0))</f>
        <v>16</v>
      </c>
      <c r="D2" s="568" t="s">
        <v>1472</v>
      </c>
      <c r="E2" s="568" t="s">
        <v>155</v>
      </c>
      <c r="F2" s="570" t="s">
        <v>155</v>
      </c>
      <c r="G2" s="568" t="s">
        <v>155</v>
      </c>
      <c r="H2" s="571"/>
    </row>
    <row r="3" spans="1:8" ht="63" customHeight="1">
      <c r="A3" s="483"/>
      <c r="B3" s="483" t="s">
        <v>115</v>
      </c>
      <c r="C3" s="56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569" t="s">
        <v>1950</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570"/>
      <c r="G3" s="571"/>
      <c r="H3" s="483"/>
    </row>
    <row r="4" spans="1:8" ht="243" customHeight="1">
      <c r="A4" s="483" t="s">
        <v>1951</v>
      </c>
      <c r="B4" s="483" t="s">
        <v>103</v>
      </c>
      <c r="C4" s="56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568" t="s">
        <v>1952</v>
      </c>
      <c r="E4" s="56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568"/>
      <c r="G4" s="568"/>
      <c r="H4" s="483" t="s">
        <v>1953</v>
      </c>
    </row>
    <row r="5" spans="1:8" ht="117" customHeight="1">
      <c r="A5" s="483" t="s">
        <v>1954</v>
      </c>
      <c r="B5" s="483" t="s">
        <v>90</v>
      </c>
      <c r="C5" s="56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483" t="s">
        <v>1955</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571"/>
      <c r="G5" s="571"/>
      <c r="H5" s="483" t="s">
        <v>1956</v>
      </c>
    </row>
    <row r="6" spans="1:8" ht="90" customHeight="1">
      <c r="A6" s="483" t="s">
        <v>1957</v>
      </c>
      <c r="B6" s="483" t="s">
        <v>91</v>
      </c>
      <c r="C6" s="56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483"/>
      <c r="G6" s="483"/>
      <c r="H6" s="571"/>
    </row>
    <row r="7" spans="1:8" ht="45" customHeight="1">
      <c r="A7" s="483" t="s">
        <v>1958</v>
      </c>
      <c r="B7" s="483" t="s">
        <v>116</v>
      </c>
      <c r="C7" s="569" t="str">
        <f>IF(TEMPLATE_SPHERE="HEAT",D7,E7)</f>
        <v>Форма 11. Информация о расходах на капитальный и текущий ремонт основных средств</v>
      </c>
      <c r="D7" s="483" t="s">
        <v>1959</v>
      </c>
      <c r="E7" s="483" t="s">
        <v>1960</v>
      </c>
      <c r="F7" s="571"/>
      <c r="G7" s="571"/>
      <c r="H7" s="571"/>
    </row>
    <row r="8" spans="1:8" ht="108" customHeight="1">
      <c r="A8" s="483" t="s">
        <v>1961</v>
      </c>
      <c r="B8" s="483" t="s">
        <v>92</v>
      </c>
      <c r="C8" s="56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483" t="s">
        <v>1160</v>
      </c>
      <c r="E8" s="483" t="s">
        <v>1962</v>
      </c>
      <c r="F8" s="571"/>
      <c r="G8" s="571"/>
      <c r="H8" s="571"/>
    </row>
    <row r="9" spans="1:8" ht="99" customHeight="1">
      <c r="A9" s="483" t="s">
        <v>1963</v>
      </c>
      <c r="B9" s="483"/>
      <c r="C9" s="483" t="s">
        <v>1964</v>
      </c>
      <c r="D9" s="483"/>
      <c r="E9" s="483"/>
      <c r="F9" s="571"/>
      <c r="G9" s="571"/>
      <c r="H9" s="571"/>
    </row>
    <row r="10" spans="1:8" ht="126" customHeight="1">
      <c r="A10" s="483" t="s">
        <v>1965</v>
      </c>
      <c r="B10" s="483"/>
      <c r="C10" s="483" t="s">
        <v>1966</v>
      </c>
      <c r="D10" s="483"/>
      <c r="E10" s="483"/>
      <c r="F10" s="571"/>
      <c r="G10" s="571"/>
      <c r="H10" s="571"/>
    </row>
    <row r="11" spans="1:8" ht="108" customHeight="1">
      <c r="A11" s="483" t="s">
        <v>1967</v>
      </c>
      <c r="B11" s="483"/>
      <c r="C11" s="483" t="s">
        <v>1968</v>
      </c>
      <c r="D11" s="483"/>
      <c r="E11" s="483"/>
      <c r="F11" s="571"/>
      <c r="G11" s="571"/>
      <c r="H11" s="571"/>
    </row>
    <row r="12" spans="1:8" ht="54" customHeight="1">
      <c r="A12" s="483" t="s">
        <v>1969</v>
      </c>
      <c r="B12" s="483"/>
      <c r="C12" s="483" t="s">
        <v>1970</v>
      </c>
      <c r="D12" s="483"/>
      <c r="E12" s="483"/>
      <c r="F12" s="571"/>
      <c r="G12" s="571"/>
      <c r="H12" s="571"/>
    </row>
    <row r="13" spans="1:8" ht="45" customHeight="1">
      <c r="A13" s="483" t="s">
        <v>1971</v>
      </c>
      <c r="B13" s="483"/>
      <c r="C13" s="483" t="s">
        <v>1972</v>
      </c>
      <c r="D13" s="483"/>
      <c r="E13" s="483"/>
      <c r="F13" s="571"/>
      <c r="G13" s="571"/>
      <c r="H13" s="571"/>
    </row>
    <row r="14" spans="1:8" ht="117" customHeight="1">
      <c r="A14" s="483" t="s">
        <v>1973</v>
      </c>
      <c r="B14" s="483"/>
      <c r="C14" s="483" t="s">
        <v>1974</v>
      </c>
      <c r="D14" s="483"/>
      <c r="E14" s="483"/>
      <c r="F14" s="571"/>
      <c r="G14" s="571"/>
      <c r="H14" s="571"/>
    </row>
    <row r="15" spans="1:8" ht="117" customHeight="1">
      <c r="A15" s="483" t="s">
        <v>1975</v>
      </c>
      <c r="B15" s="483"/>
      <c r="C15" s="483" t="s">
        <v>1976</v>
      </c>
      <c r="D15" s="483"/>
      <c r="E15" s="483"/>
      <c r="F15" s="571"/>
      <c r="G15" s="571"/>
      <c r="H15" s="571"/>
    </row>
    <row r="16" spans="1:8" ht="63" customHeight="1">
      <c r="A16" s="483" t="s">
        <v>1977</v>
      </c>
      <c r="B16" s="483"/>
      <c r="C16" s="483" t="s">
        <v>1978</v>
      </c>
      <c r="D16" s="483"/>
      <c r="E16" s="483"/>
      <c r="F16" s="571"/>
      <c r="G16" s="571"/>
      <c r="H16" s="571"/>
    </row>
    <row r="17" spans="1:8" ht="54" customHeight="1">
      <c r="A17" s="483" t="s">
        <v>1979</v>
      </c>
      <c r="B17" s="483"/>
      <c r="C17" s="569" t="s">
        <v>1980</v>
      </c>
      <c r="D17" s="483"/>
      <c r="E17" s="483"/>
      <c r="F17" s="571"/>
      <c r="G17" s="571"/>
      <c r="H17" s="571"/>
    </row>
    <row r="18" spans="1:8" ht="27" customHeight="1">
      <c r="A18" s="483" t="s">
        <v>1981</v>
      </c>
      <c r="B18" s="483"/>
      <c r="C18" s="569" t="s">
        <v>1982</v>
      </c>
      <c r="D18" s="483"/>
      <c r="E18" s="483"/>
      <c r="F18" s="571"/>
      <c r="G18" s="571"/>
      <c r="H18" s="571"/>
    </row>
    <row r="19" spans="1:8" ht="54" customHeight="1">
      <c r="A19" s="483" t="s">
        <v>1983</v>
      </c>
      <c r="B19" s="483"/>
      <c r="C19" s="569" t="s">
        <v>1984</v>
      </c>
      <c r="D19" s="483"/>
      <c r="E19" s="483"/>
      <c r="F19" s="571"/>
      <c r="G19" s="571"/>
      <c r="H19" s="571"/>
    </row>
    <row r="20" spans="1:8" ht="36" customHeight="1">
      <c r="A20" s="483" t="s">
        <v>1985</v>
      </c>
      <c r="B20" s="483"/>
      <c r="C20" s="569" t="s">
        <v>1986</v>
      </c>
      <c r="D20" s="483"/>
      <c r="E20" s="483"/>
      <c r="F20" s="571"/>
      <c r="G20" s="571"/>
      <c r="H20" s="571"/>
    </row>
    <row r="21" spans="1:8" ht="36" customHeight="1">
      <c r="A21" s="483" t="s">
        <v>1987</v>
      </c>
      <c r="B21" s="483"/>
      <c r="C21" s="569" t="s">
        <v>1988</v>
      </c>
      <c r="D21" s="483"/>
      <c r="E21" s="483"/>
      <c r="F21" s="571"/>
      <c r="G21" s="571"/>
      <c r="H21" s="571"/>
    </row>
    <row r="22" spans="1:8" ht="27" customHeight="1">
      <c r="A22" s="483" t="s">
        <v>1989</v>
      </c>
      <c r="B22" s="483"/>
      <c r="C22" s="569" t="s">
        <v>1990</v>
      </c>
      <c r="D22" s="483"/>
      <c r="E22" s="483"/>
      <c r="F22" s="571"/>
      <c r="G22" s="571"/>
      <c r="H22" s="571"/>
    </row>
    <row r="23" spans="1:8" ht="36" customHeight="1">
      <c r="A23" s="483" t="s">
        <v>1991</v>
      </c>
      <c r="B23" s="483"/>
      <c r="C23" s="569" t="s">
        <v>1992</v>
      </c>
      <c r="D23" s="483"/>
      <c r="E23" s="483"/>
      <c r="F23" s="571"/>
      <c r="G23" s="571"/>
      <c r="H23" s="571"/>
    </row>
    <row r="24" spans="1:8" ht="28.5" customHeight="1">
      <c r="A24" s="483" t="s">
        <v>1993</v>
      </c>
      <c r="B24" s="483"/>
      <c r="C24" s="569" t="s">
        <v>1994</v>
      </c>
      <c r="D24" s="483"/>
      <c r="E24" s="483"/>
      <c r="F24" s="571"/>
      <c r="G24" s="571"/>
      <c r="H24" s="571"/>
    </row>
    <row r="25" spans="1:8" ht="36" customHeight="1">
      <c r="A25" s="483" t="s">
        <v>1995</v>
      </c>
      <c r="B25" s="483"/>
      <c r="C25" s="569" t="s">
        <v>1996</v>
      </c>
      <c r="D25" s="483"/>
      <c r="E25" s="483"/>
      <c r="F25" s="571"/>
      <c r="G25" s="571"/>
      <c r="H25" s="571"/>
    </row>
    <row r="26" spans="1:8" ht="27" customHeight="1">
      <c r="A26" s="483" t="s">
        <v>1997</v>
      </c>
      <c r="B26" s="483"/>
      <c r="C26" s="569" t="s">
        <v>1998</v>
      </c>
      <c r="D26" s="483"/>
      <c r="E26" s="483"/>
      <c r="F26" s="571"/>
      <c r="G26" s="571"/>
      <c r="H26" s="571"/>
    </row>
    <row r="27" spans="1:8" ht="36" customHeight="1">
      <c r="A27" s="483" t="s">
        <v>1999</v>
      </c>
      <c r="B27" s="483"/>
      <c r="C27" s="569" t="s">
        <v>2000</v>
      </c>
      <c r="D27" s="483"/>
      <c r="E27" s="483"/>
      <c r="F27" s="571"/>
      <c r="G27" s="571"/>
      <c r="H27" s="571"/>
    </row>
    <row r="28" spans="1:8" ht="28.5" customHeight="1">
      <c r="A28" s="483" t="s">
        <v>2001</v>
      </c>
      <c r="B28" s="483"/>
      <c r="C28" s="569" t="s">
        <v>2002</v>
      </c>
      <c r="D28" s="483"/>
      <c r="E28" s="483"/>
      <c r="F28" s="571"/>
      <c r="G28" s="571"/>
      <c r="H28" s="571"/>
    </row>
    <row r="29" spans="1:8" ht="126" customHeight="1">
      <c r="A29" s="483" t="s">
        <v>2003</v>
      </c>
      <c r="B29" s="483" t="s">
        <v>1574</v>
      </c>
      <c r="C29" s="56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483" t="s">
        <v>2004</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571"/>
      <c r="G29" s="571"/>
      <c r="H29" s="483" t="s">
        <v>2005</v>
      </c>
    </row>
    <row r="30" spans="1:8" ht="36" customHeight="1">
      <c r="A30" s="483" t="s">
        <v>2006</v>
      </c>
      <c r="B30" s="483"/>
      <c r="C30" s="56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483" t="s">
        <v>2007</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571"/>
      <c r="G30" s="571"/>
      <c r="H30" s="571"/>
    </row>
    <row r="31" spans="1:8" ht="54" customHeight="1">
      <c r="A31" s="483" t="s">
        <v>2008</v>
      </c>
      <c r="B31" s="483"/>
      <c r="C31" s="56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483" t="s">
        <v>2009</v>
      </c>
      <c r="E31" s="48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571"/>
      <c r="G31" s="571"/>
      <c r="H31" s="571"/>
    </row>
    <row r="32" spans="1:8" ht="198" customHeight="1">
      <c r="A32" s="483" t="s">
        <v>2010</v>
      </c>
      <c r="B32" s="483"/>
      <c r="C32" s="56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483" t="s">
        <v>2011</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571"/>
      <c r="G32" s="571"/>
      <c r="H32" s="483" t="s">
        <v>2012</v>
      </c>
    </row>
    <row r="33" spans="1:8" ht="9" customHeight="1">
      <c r="A33" s="483"/>
      <c r="B33" s="483"/>
      <c r="C33" s="569"/>
      <c r="D33" s="483"/>
      <c r="E33" s="483"/>
      <c r="F33" s="571"/>
      <c r="G33" s="571"/>
      <c r="H33" s="571"/>
    </row>
    <row r="34" spans="1:8" ht="9" customHeight="1">
      <c r="A34" s="483"/>
      <c r="B34" s="483" t="s">
        <v>1510</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5AA38-D8DE-3F9E-0426-D9152819B653}">
  <sheetPr>
    <tabColor rgb="FFFFCC99"/>
  </sheetPr>
  <dimension ref="A1:AH154"/>
  <sheetViews>
    <sheetView showGridLines="0" workbookViewId="0"/>
  </sheetViews>
  <sheetFormatPr defaultColWidth="9.140625" defaultRowHeight="9" customHeight="1"/>
  <cols>
    <col min="1" max="2" width="9.140625" style="477"/>
    <col min="3" max="7" width="8" style="479" customWidth="1"/>
    <col min="8" max="12" width="8.5703125" style="479" customWidth="1"/>
    <col min="13" max="14" width="27.7109375" style="479" customWidth="1"/>
    <col min="15" max="19" width="5.140625" style="479" customWidth="1"/>
    <col min="20" max="24" width="27.7109375" style="479" customWidth="1"/>
    <col min="25" max="25" width="1.85546875" style="586" customWidth="1"/>
    <col min="26" max="26" width="27.7109375" style="477" customWidth="1"/>
    <col min="27" max="27" width="27.7109375" style="488" customWidth="1"/>
    <col min="28" max="29" width="27.7109375" style="477" customWidth="1"/>
    <col min="30" max="30" width="3.85546875" style="477" customWidth="1"/>
    <col min="31" max="34" width="9.140625" style="477"/>
  </cols>
  <sheetData>
    <row r="1" spans="1:34" s="476" customFormat="1" ht="18" customHeight="1">
      <c r="A1" s="520"/>
      <c r="B1" s="520"/>
      <c r="C1" s="520" t="s">
        <v>2013</v>
      </c>
      <c r="D1" s="520"/>
      <c r="E1" s="520"/>
      <c r="F1" s="520"/>
      <c r="G1" s="520"/>
      <c r="H1" s="520" t="s">
        <v>2014</v>
      </c>
      <c r="I1" s="520"/>
      <c r="J1" s="520"/>
      <c r="K1" s="520"/>
      <c r="L1" s="520"/>
      <c r="M1" s="520" t="s">
        <v>2015</v>
      </c>
      <c r="N1" s="520" t="s">
        <v>2016</v>
      </c>
      <c r="O1" s="1542" t="s">
        <v>2017</v>
      </c>
      <c r="P1" s="1542"/>
      <c r="Q1" s="1542"/>
      <c r="R1" s="1542"/>
      <c r="S1" s="1542"/>
      <c r="T1" s="1542" t="s">
        <v>2015</v>
      </c>
      <c r="U1" s="1542"/>
      <c r="V1" s="1542"/>
      <c r="W1" s="1542"/>
      <c r="X1" s="1542"/>
      <c r="Y1" s="584"/>
      <c r="Z1" s="1542" t="s">
        <v>2018</v>
      </c>
      <c r="AA1" s="1542"/>
      <c r="AB1" s="1542"/>
      <c r="AC1" s="1542"/>
      <c r="AD1" s="1542"/>
    </row>
    <row r="2" spans="1:34" ht="18" customHeight="1">
      <c r="A2" s="483"/>
      <c r="B2" s="483"/>
      <c r="C2" s="478" t="s">
        <v>811</v>
      </c>
      <c r="D2" s="478" t="s">
        <v>857</v>
      </c>
      <c r="E2" s="478" t="s">
        <v>910</v>
      </c>
      <c r="F2" s="478" t="s">
        <v>897</v>
      </c>
      <c r="G2" s="478" t="s">
        <v>1623</v>
      </c>
      <c r="H2" s="480"/>
      <c r="I2" s="480"/>
      <c r="J2" s="480"/>
      <c r="K2" s="480"/>
      <c r="L2" s="480"/>
      <c r="M2" s="480"/>
      <c r="N2" s="480"/>
      <c r="O2" s="478" t="s">
        <v>811</v>
      </c>
      <c r="P2" s="478" t="s">
        <v>857</v>
      </c>
      <c r="Q2" s="478" t="s">
        <v>897</v>
      </c>
      <c r="R2" s="478" t="s">
        <v>910</v>
      </c>
      <c r="S2" s="478" t="s">
        <v>1623</v>
      </c>
      <c r="T2" s="478" t="s">
        <v>811</v>
      </c>
      <c r="U2" s="478" t="s">
        <v>857</v>
      </c>
      <c r="V2" s="478" t="s">
        <v>897</v>
      </c>
      <c r="W2" s="478" t="s">
        <v>910</v>
      </c>
      <c r="X2" s="478" t="s">
        <v>1623</v>
      </c>
      <c r="Y2" s="478"/>
      <c r="Z2" s="478" t="s">
        <v>811</v>
      </c>
      <c r="AA2" s="487" t="s">
        <v>857</v>
      </c>
      <c r="AB2" s="478" t="s">
        <v>897</v>
      </c>
      <c r="AC2" s="478" t="s">
        <v>910</v>
      </c>
      <c r="AD2" s="478" t="s">
        <v>1623</v>
      </c>
    </row>
    <row r="3" spans="1:34" ht="162" customHeight="1">
      <c r="A3" s="482" t="s">
        <v>27</v>
      </c>
      <c r="B3" s="482"/>
      <c r="C3" s="1546" t="s">
        <v>2019</v>
      </c>
      <c r="D3" s="1547"/>
      <c r="E3" s="1547"/>
      <c r="F3" s="1548"/>
      <c r="G3" s="480"/>
      <c r="H3" s="480"/>
      <c r="I3" s="480"/>
      <c r="J3" s="480"/>
      <c r="K3" s="480"/>
      <c r="L3" s="480"/>
      <c r="M3" s="480"/>
      <c r="N3" s="48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480"/>
      <c r="P3" s="480"/>
      <c r="Q3" s="480"/>
      <c r="R3" s="480"/>
      <c r="S3" s="480"/>
      <c r="T3" s="480"/>
      <c r="U3" s="480"/>
      <c r="V3" s="480"/>
      <c r="W3" s="480"/>
      <c r="X3" s="480"/>
      <c r="Y3" s="585"/>
      <c r="Z3" s="483" t="s">
        <v>2020</v>
      </c>
      <c r="AA3" s="480" t="s">
        <v>2021</v>
      </c>
      <c r="AB3" s="483" t="s">
        <v>2022</v>
      </c>
      <c r="AC3" s="483" t="s">
        <v>2023</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43" t="s">
        <v>33</v>
      </c>
      <c r="B11" s="521">
        <v>1</v>
      </c>
      <c r="C11" s="1549" t="s">
        <v>1561</v>
      </c>
      <c r="D11" s="1549" t="s">
        <v>1557</v>
      </c>
      <c r="E11" s="1549" t="s">
        <v>1655</v>
      </c>
      <c r="F11" s="1549" t="s">
        <v>2024</v>
      </c>
      <c r="G11" s="1549"/>
      <c r="H11" s="520" t="s">
        <v>2025</v>
      </c>
      <c r="I11" s="520"/>
      <c r="J11" s="520"/>
      <c r="K11" s="520"/>
      <c r="L11" s="520"/>
      <c r="M11" s="481" t="str">
        <f>IF(TEMPLATE_SPHERE="HEAT",T11,U11)</f>
        <v>Количество поданных заявок</v>
      </c>
      <c r="N11" s="48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480"/>
      <c r="P11" s="480"/>
      <c r="Q11" s="480"/>
      <c r="R11" s="480"/>
      <c r="S11" s="480"/>
      <c r="T11" s="480" t="s">
        <v>2026</v>
      </c>
      <c r="U11" s="480" t="s">
        <v>2027</v>
      </c>
      <c r="V11" s="480"/>
      <c r="W11" s="480"/>
      <c r="X11" s="480"/>
      <c r="Y11" s="585"/>
      <c r="Z11" s="483" t="s">
        <v>2028</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483"/>
      <c r="AC11" s="483"/>
      <c r="AD11" s="483"/>
    </row>
    <row r="12" spans="1:34" ht="45" customHeight="1">
      <c r="A12" s="1543"/>
      <c r="B12" s="521">
        <v>2</v>
      </c>
      <c r="C12" s="1550"/>
      <c r="D12" s="1550"/>
      <c r="E12" s="1550"/>
      <c r="F12" s="1550"/>
      <c r="G12" s="1550"/>
      <c r="H12" s="520" t="s">
        <v>2029</v>
      </c>
      <c r="I12" s="520"/>
      <c r="J12" s="520"/>
      <c r="K12" s="520"/>
      <c r="L12" s="520"/>
      <c r="M12" s="481" t="str">
        <f>IF(TEMPLATE_SPHERE="HEAT",T12,U12)</f>
        <v>Количество рассмотренных заявок</v>
      </c>
      <c r="N12" s="48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480"/>
      <c r="P12" s="480"/>
      <c r="Q12" s="480"/>
      <c r="R12" s="480"/>
      <c r="S12" s="480"/>
      <c r="T12" s="480" t="s">
        <v>2030</v>
      </c>
      <c r="U12" s="480" t="s">
        <v>2031</v>
      </c>
      <c r="V12" s="480"/>
      <c r="W12" s="480"/>
      <c r="X12" s="480"/>
      <c r="Y12" s="585"/>
      <c r="Z12" s="483" t="s">
        <v>2032</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483"/>
      <c r="AC12" s="483"/>
      <c r="AD12" s="483"/>
    </row>
    <row r="13" spans="1:34" ht="72" customHeight="1">
      <c r="A13" s="1543"/>
      <c r="B13" s="521">
        <v>3</v>
      </c>
      <c r="C13" s="1550"/>
      <c r="D13" s="1550"/>
      <c r="E13" s="1550"/>
      <c r="F13" s="1550"/>
      <c r="G13" s="1550"/>
      <c r="H13" s="1542" t="s">
        <v>2033</v>
      </c>
      <c r="I13" s="520"/>
      <c r="J13" s="520"/>
      <c r="K13" s="520"/>
      <c r="L13" s="520"/>
      <c r="M13" s="48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481" t="str">
        <f t="shared" si="0"/>
        <v>Указывается количество заявок с решением об отказе в течение отчетного квартала.</v>
      </c>
      <c r="O13" s="480"/>
      <c r="P13" s="481"/>
      <c r="Q13" s="481"/>
      <c r="R13" s="481"/>
      <c r="S13" s="480"/>
      <c r="T13" s="480" t="s">
        <v>2034</v>
      </c>
      <c r="U13" s="481" t="s">
        <v>2035</v>
      </c>
      <c r="V13" s="481"/>
      <c r="W13" s="481"/>
      <c r="X13" s="480"/>
      <c r="Y13" s="585"/>
      <c r="Z13" s="483" t="s">
        <v>2036</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483"/>
      <c r="AC13" s="483"/>
      <c r="AD13" s="483"/>
    </row>
    <row r="14" spans="1:34" ht="45" customHeight="1">
      <c r="A14" s="1543"/>
      <c r="B14" s="521">
        <v>4</v>
      </c>
      <c r="C14" s="1550"/>
      <c r="D14" s="1550"/>
      <c r="E14" s="1550"/>
      <c r="F14" s="1550"/>
      <c r="G14" s="1550"/>
      <c r="H14" s="1542"/>
      <c r="I14" s="523"/>
      <c r="J14" s="523"/>
      <c r="K14" s="523"/>
      <c r="L14" s="523"/>
      <c r="M14" s="484" t="str">
        <f>IF(TEMPLATE_SPHERE="HEAT",T14,U14)</f>
        <v>Причины отказа в заключении договора о подключении (технологическом присоединении) к системе теплоснабжения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2037</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481"/>
      <c r="W14" s="481"/>
      <c r="X14" s="480"/>
      <c r="Y14" s="585"/>
      <c r="Z14" s="483" t="s">
        <v>2038</v>
      </c>
      <c r="AA14" s="486" t="s">
        <v>2038</v>
      </c>
      <c r="AB14" s="483"/>
      <c r="AC14" s="483"/>
      <c r="AD14" s="483"/>
    </row>
    <row r="15" spans="1:34" ht="108" customHeight="1">
      <c r="A15" s="1543"/>
      <c r="B15" s="521">
        <v>5</v>
      </c>
      <c r="C15" s="1550"/>
      <c r="D15" s="1550"/>
      <c r="E15" s="1550"/>
      <c r="F15" s="1550"/>
      <c r="G15" s="1550"/>
      <c r="H15" s="1544" t="s">
        <v>2039</v>
      </c>
      <c r="I15" s="522"/>
      <c r="J15" s="522"/>
      <c r="K15" s="522"/>
      <c r="L15" s="522"/>
      <c r="M15" s="486" t="str">
        <f>IF(TEMPLATE_SPHERE="HEAT",T15,U15)</f>
        <v>Резерв мощности источников тепловой энергии, входящих в систему теплоснабжения, в течение одного квартала, в том числе:</v>
      </c>
      <c r="N15" s="48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480"/>
      <c r="P15" s="481"/>
      <c r="Q15" s="481"/>
      <c r="R15" s="481"/>
      <c r="S15" s="480"/>
      <c r="T15" s="480" t="s">
        <v>2040</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481"/>
      <c r="W15" s="481"/>
      <c r="X15" s="480"/>
      <c r="Y15" s="585"/>
      <c r="Z15" s="483" t="s">
        <v>2041</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483"/>
      <c r="AC15" s="483"/>
      <c r="AD15" s="483"/>
    </row>
    <row r="16" spans="1:34" ht="108" customHeight="1">
      <c r="A16" s="521"/>
      <c r="B16" s="521">
        <v>6</v>
      </c>
      <c r="C16" s="1551"/>
      <c r="D16" s="1551"/>
      <c r="E16" s="1551"/>
      <c r="F16" s="1551"/>
      <c r="G16" s="1551"/>
      <c r="H16" s="1545"/>
      <c r="I16" s="550"/>
      <c r="J16" s="550"/>
      <c r="K16" s="550"/>
      <c r="L16" s="550"/>
      <c r="M16" s="517"/>
      <c r="N16" s="48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480"/>
      <c r="P16" s="481"/>
      <c r="Q16" s="481"/>
      <c r="R16" s="481"/>
      <c r="S16" s="480"/>
      <c r="T16" s="480"/>
      <c r="U16" s="481"/>
      <c r="V16" s="481"/>
      <c r="W16" s="481"/>
      <c r="X16" s="480"/>
      <c r="Y16" s="585"/>
      <c r="Z16" s="483" t="s">
        <v>2041</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1658</v>
      </c>
      <c r="B18" s="521">
        <v>1</v>
      </c>
      <c r="C18" s="480" t="s">
        <v>2025</v>
      </c>
      <c r="D18" s="555" t="s">
        <v>2025</v>
      </c>
      <c r="E18" s="480" t="s">
        <v>2025</v>
      </c>
      <c r="F18" s="480" t="s">
        <v>2025</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регулируемого вида деятельности с распределением по видам деятельности</v>
      </c>
      <c r="K18" s="58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481">
        <f t="shared" ref="L18:L49" si="4">IF(I18=0,"",I18)</f>
        <v>1</v>
      </c>
      <c r="M18" s="481" t="str">
        <f t="shared" ref="M18:M49" si="5">IF(J18=0,"",J18)</f>
        <v>Выручка от регулируемого вида деятельности с распределением по видам деятельности</v>
      </c>
      <c r="N18" s="481" t="str">
        <f t="shared" ref="N18:N49" si="6">IF(K18=0,"",K18)</f>
        <v>Указывается выручка от регулируемого вида деятельности с распределением по видам деятельности.</v>
      </c>
      <c r="O18" s="545">
        <v>1</v>
      </c>
      <c r="P18" s="545">
        <v>1</v>
      </c>
      <c r="Q18" s="545">
        <v>1</v>
      </c>
      <c r="R18" s="545">
        <v>1</v>
      </c>
      <c r="S18" s="545"/>
      <c r="T18" s="552" t="s">
        <v>2042</v>
      </c>
      <c r="U18" s="483" t="s">
        <v>2043</v>
      </c>
      <c r="V18" s="483" t="s">
        <v>2044</v>
      </c>
      <c r="W18" s="483" t="s">
        <v>2045</v>
      </c>
      <c r="X18" s="480"/>
      <c r="Y18" s="585"/>
      <c r="Z18" s="483" t="s">
        <v>2046</v>
      </c>
      <c r="AA18" s="486" t="s">
        <v>2047</v>
      </c>
      <c r="AB18" s="486" t="s">
        <v>2047</v>
      </c>
      <c r="AC18" s="486" t="s">
        <v>2047</v>
      </c>
      <c r="AD18" s="483"/>
    </row>
    <row r="19" spans="1:30" ht="36" customHeight="1">
      <c r="A19" s="482"/>
      <c r="B19" s="521">
        <v>2</v>
      </c>
      <c r="C19" s="480" t="s">
        <v>2029</v>
      </c>
      <c r="D19" s="555" t="s">
        <v>2029</v>
      </c>
      <c r="E19" s="480" t="s">
        <v>2029</v>
      </c>
      <c r="F19" s="480" t="s">
        <v>2029</v>
      </c>
      <c r="G19" s="480"/>
      <c r="H19" s="587"/>
      <c r="I19" s="588">
        <f t="shared" si="1"/>
        <v>2</v>
      </c>
      <c r="J19" s="588" t="str">
        <f t="shared" si="2"/>
        <v>Себестоимость производимых товаров (оказываемых услуг) по регулируемому виду деятельности,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регулируемому виду деятельности, включая:</v>
      </c>
      <c r="N19" s="481" t="str">
        <f t="shared" si="6"/>
        <v>Указывается суммарная себестоимость производимых товаров.</v>
      </c>
      <c r="O19" s="545">
        <v>2</v>
      </c>
      <c r="P19" s="545">
        <v>2</v>
      </c>
      <c r="Q19" s="545">
        <v>2</v>
      </c>
      <c r="R19" s="545">
        <v>2</v>
      </c>
      <c r="S19" s="545"/>
      <c r="T19" s="552" t="s">
        <v>2048</v>
      </c>
      <c r="U19" s="483" t="s">
        <v>2049</v>
      </c>
      <c r="V19" s="483" t="s">
        <v>2050</v>
      </c>
      <c r="W19" s="483" t="s">
        <v>2051</v>
      </c>
      <c r="X19" s="480"/>
      <c r="Y19" s="585"/>
      <c r="Z19" s="483" t="s">
        <v>2052</v>
      </c>
      <c r="AA19" s="486" t="s">
        <v>2052</v>
      </c>
      <c r="AB19" s="486" t="s">
        <v>2052</v>
      </c>
      <c r="AC19" s="486" t="s">
        <v>2052</v>
      </c>
      <c r="AD19" s="483"/>
    </row>
    <row r="20" spans="1:30" ht="27" customHeight="1">
      <c r="A20" s="482"/>
      <c r="B20" s="521">
        <v>3</v>
      </c>
      <c r="C20" s="480">
        <v>1</v>
      </c>
      <c r="D20" s="555"/>
      <c r="E20" s="480"/>
      <c r="F20" s="480"/>
      <c r="G20" s="480"/>
      <c r="H20" s="587"/>
      <c r="I20" s="588" t="str">
        <f t="shared" si="1"/>
        <v>2.1</v>
      </c>
      <c r="J20" s="588" t="str">
        <f t="shared" si="2"/>
        <v>Расходы на приобретаемую тепловую энергию (мощность), теплоноситель</v>
      </c>
      <c r="K20" s="588">
        <f t="shared" si="3"/>
        <v>0</v>
      </c>
      <c r="L20" s="481" t="str">
        <f t="shared" si="4"/>
        <v>2.1</v>
      </c>
      <c r="M20" s="481" t="str">
        <f t="shared" si="5"/>
        <v>Расходы на приобретаемую тепловую энергию (мощность), теплоноситель</v>
      </c>
      <c r="N20" s="481" t="str">
        <f t="shared" si="6"/>
        <v/>
      </c>
      <c r="O20" s="545" t="s">
        <v>712</v>
      </c>
      <c r="P20" s="545" t="s">
        <v>712</v>
      </c>
      <c r="Q20" s="545" t="s">
        <v>712</v>
      </c>
      <c r="R20" s="545" t="s">
        <v>712</v>
      </c>
      <c r="S20" s="545"/>
      <c r="T20" s="552" t="s">
        <v>2053</v>
      </c>
      <c r="U20" s="483" t="s">
        <v>2054</v>
      </c>
      <c r="V20" s="483" t="s">
        <v>2055</v>
      </c>
      <c r="W20" s="483" t="s">
        <v>2056</v>
      </c>
      <c r="X20" s="480"/>
      <c r="Y20" s="585"/>
      <c r="Z20" s="483"/>
      <c r="AA20" s="486"/>
      <c r="AB20" s="483"/>
      <c r="AC20" s="483"/>
      <c r="AD20" s="483"/>
    </row>
    <row r="21" spans="1:30" ht="36" customHeight="1">
      <c r="A21" s="482"/>
      <c r="B21" s="521">
        <v>4</v>
      </c>
      <c r="C21" s="480">
        <v>2</v>
      </c>
      <c r="D21" s="555"/>
      <c r="E21" s="480"/>
      <c r="F21" s="480"/>
      <c r="G21" s="480"/>
      <c r="H21" s="587"/>
      <c r="I21" s="588" t="str">
        <f t="shared" si="1"/>
        <v>2.2</v>
      </c>
      <c r="J21" s="58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588" t="str">
        <f t="shared" si="3"/>
        <v>Указываются суммарные расходы на приобретение топлива всех видов.</v>
      </c>
      <c r="L21" s="481" t="str">
        <f t="shared" si="4"/>
        <v>2.2</v>
      </c>
      <c r="M21" s="48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481" t="str">
        <f t="shared" si="6"/>
        <v>Указываются суммарные расходы на приобретение топлива всех видов.</v>
      </c>
      <c r="O21" s="545" t="s">
        <v>311</v>
      </c>
      <c r="P21" s="545"/>
      <c r="Q21" s="545"/>
      <c r="R21" s="545"/>
      <c r="S21" s="545"/>
      <c r="T21" s="552" t="s">
        <v>2057</v>
      </c>
      <c r="U21" s="483"/>
      <c r="V21" s="483"/>
      <c r="W21" s="483"/>
      <c r="X21" s="480"/>
      <c r="Y21" s="585"/>
      <c r="Z21" s="483" t="s">
        <v>2058</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311</v>
      </c>
      <c r="R22" s="545"/>
      <c r="S22" s="545"/>
      <c r="T22" s="552"/>
      <c r="U22" s="483"/>
      <c r="V22" s="483" t="s">
        <v>2059</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314</v>
      </c>
      <c r="R23" s="545"/>
      <c r="S23" s="545"/>
      <c r="T23" s="552"/>
      <c r="U23" s="483"/>
      <c r="V23" s="483" t="s">
        <v>2060</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732</v>
      </c>
      <c r="R24" s="545"/>
      <c r="S24" s="545"/>
      <c r="T24" s="552"/>
      <c r="U24" s="483"/>
      <c r="V24" s="483" t="s">
        <v>2061</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2.3</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2.3</v>
      </c>
      <c r="M25" s="481" t="str">
        <f t="shared" si="5"/>
        <v>Расходы на приобретаемую электрическую энергию (мощность), используемую в технологическом процессе</v>
      </c>
      <c r="N25" s="481" t="str">
        <f t="shared" si="6"/>
        <v/>
      </c>
      <c r="O25" s="545" t="s">
        <v>314</v>
      </c>
      <c r="P25" s="545" t="s">
        <v>311</v>
      </c>
      <c r="Q25" s="545" t="s">
        <v>739</v>
      </c>
      <c r="R25" s="545" t="s">
        <v>311</v>
      </c>
      <c r="S25" s="545"/>
      <c r="T25" s="552" t="s">
        <v>2062</v>
      </c>
      <c r="U25" s="483" t="s">
        <v>2062</v>
      </c>
      <c r="V25" s="483" t="s">
        <v>2062</v>
      </c>
      <c r="W25" s="483" t="s">
        <v>2062</v>
      </c>
      <c r="X25" s="480"/>
      <c r="Y25" s="585"/>
      <c r="Z25" s="483"/>
      <c r="AA25" s="486"/>
      <c r="AB25" s="483"/>
      <c r="AC25" s="483"/>
      <c r="AD25" s="483"/>
    </row>
    <row r="26" spans="1:30" ht="18" customHeight="1">
      <c r="A26" s="482"/>
      <c r="B26" s="521">
        <v>9</v>
      </c>
      <c r="C26" s="480" t="s">
        <v>656</v>
      </c>
      <c r="D26" s="555"/>
      <c r="E26" s="480"/>
      <c r="F26" s="480"/>
      <c r="G26" s="516"/>
      <c r="H26" s="546"/>
      <c r="I26" s="588" t="str">
        <f t="shared" si="1"/>
        <v>2.3.1</v>
      </c>
      <c r="J26" s="588" t="str">
        <f t="shared" si="2"/>
        <v>Средневзвешенная стоимость 1 кВт.ч (с учетом мощности)</v>
      </c>
      <c r="K26" s="588">
        <f t="shared" si="3"/>
        <v>0</v>
      </c>
      <c r="L26" s="481" t="str">
        <f t="shared" si="4"/>
        <v>2.3.1</v>
      </c>
      <c r="M26" s="481" t="str">
        <f t="shared" si="5"/>
        <v>Средневзвешенная стоимость 1 кВт.ч (с учетом мощности)</v>
      </c>
      <c r="N26" s="481" t="str">
        <f t="shared" si="6"/>
        <v/>
      </c>
      <c r="O26" s="545" t="s">
        <v>728</v>
      </c>
      <c r="P26" s="545" t="s">
        <v>722</v>
      </c>
      <c r="Q26" s="545" t="s">
        <v>2063</v>
      </c>
      <c r="R26" s="545" t="s">
        <v>722</v>
      </c>
      <c r="S26" s="545"/>
      <c r="T26" s="552" t="str">
        <f>"Средневзвешенная стоимость 1 кВт.ч"&amp;IF(TITLE_TYPE_ORG="Регулируемая организация"," (с учетом мощности)","")</f>
        <v>Средневзвешенная стоимость 1 кВт.ч (с учетом мощности)</v>
      </c>
      <c r="U26" s="552" t="s">
        <v>2064</v>
      </c>
      <c r="V26" s="552" t="s">
        <v>2064</v>
      </c>
      <c r="W26" s="552" t="s">
        <v>2064</v>
      </c>
      <c r="X26" s="480"/>
      <c r="Y26" s="585"/>
      <c r="Z26" s="483"/>
      <c r="AA26" s="486"/>
      <c r="AB26" s="483"/>
      <c r="AC26" s="483"/>
      <c r="AD26" s="483"/>
    </row>
    <row r="27" spans="1:30" ht="18" customHeight="1">
      <c r="A27" s="482"/>
      <c r="B27" s="521">
        <v>10</v>
      </c>
      <c r="C27" s="480" t="s">
        <v>660</v>
      </c>
      <c r="D27" s="555"/>
      <c r="E27" s="480"/>
      <c r="F27" s="480"/>
      <c r="G27" s="516"/>
      <c r="H27" s="546"/>
      <c r="I27" s="588" t="str">
        <f t="shared" si="1"/>
        <v>2.3.2</v>
      </c>
      <c r="J27" s="588" t="str">
        <f t="shared" si="2"/>
        <v>Объём приобретения электрической энергии</v>
      </c>
      <c r="K27" s="588">
        <f t="shared" si="3"/>
        <v>0</v>
      </c>
      <c r="L27" s="481" t="str">
        <f t="shared" si="4"/>
        <v>2.3.2</v>
      </c>
      <c r="M27" s="481" t="str">
        <f t="shared" si="5"/>
        <v>Объём приобретения электрической энергии</v>
      </c>
      <c r="N27" s="481" t="str">
        <f t="shared" si="6"/>
        <v/>
      </c>
      <c r="O27" s="545" t="s">
        <v>730</v>
      </c>
      <c r="P27" s="545" t="s">
        <v>724</v>
      </c>
      <c r="Q27" s="545" t="s">
        <v>2065</v>
      </c>
      <c r="R27" s="545" t="s">
        <v>724</v>
      </c>
      <c r="S27" s="545"/>
      <c r="T27" s="552" t="s">
        <v>2066</v>
      </c>
      <c r="U27" s="552" t="s">
        <v>2066</v>
      </c>
      <c r="V27" s="552" t="s">
        <v>2066</v>
      </c>
      <c r="W27" s="552" t="s">
        <v>2066</v>
      </c>
      <c r="X27" s="480"/>
      <c r="Y27" s="585"/>
      <c r="Z27" s="483"/>
      <c r="AA27" s="486"/>
      <c r="AB27" s="483"/>
      <c r="AC27" s="483"/>
      <c r="AD27" s="483"/>
    </row>
    <row r="28" spans="1:30" ht="27" customHeight="1">
      <c r="A28" s="482"/>
      <c r="B28" s="521">
        <v>11</v>
      </c>
      <c r="C28" s="480">
        <v>7</v>
      </c>
      <c r="D28" s="555"/>
      <c r="E28" s="480"/>
      <c r="F28" s="480"/>
      <c r="G28" s="516"/>
      <c r="H28" s="546"/>
      <c r="I28" s="588" t="str">
        <f t="shared" si="1"/>
        <v>2.4</v>
      </c>
      <c r="J28" s="588" t="str">
        <f t="shared" si="2"/>
        <v>Расходы на приобретение холодной воды, используемой в технологическом процессе</v>
      </c>
      <c r="K28" s="588">
        <f t="shared" si="3"/>
        <v>0</v>
      </c>
      <c r="L28" s="481" t="str">
        <f t="shared" si="4"/>
        <v>2.4</v>
      </c>
      <c r="M28" s="481" t="str">
        <f t="shared" si="5"/>
        <v>Расходы на приобретение холодной воды, используемой в технологическом процессе</v>
      </c>
      <c r="N28" s="481" t="str">
        <f t="shared" si="6"/>
        <v/>
      </c>
      <c r="O28" s="545" t="s">
        <v>732</v>
      </c>
      <c r="P28" s="545"/>
      <c r="Q28" s="545"/>
      <c r="R28" s="545"/>
      <c r="S28" s="545"/>
      <c r="T28" s="552" t="s">
        <v>2067</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2.5</v>
      </c>
      <c r="J29" s="588" t="str">
        <f t="shared" si="2"/>
        <v>Расходы на  химические реагенты, используемые в технологическом процессе</v>
      </c>
      <c r="K29" s="588">
        <f t="shared" si="3"/>
        <v>0</v>
      </c>
      <c r="L29" s="481" t="str">
        <f t="shared" si="4"/>
        <v>2.5</v>
      </c>
      <c r="M29" s="481" t="str">
        <f t="shared" si="5"/>
        <v>Расходы на  химические реагенты, используемые в технологическом процессе</v>
      </c>
      <c r="N29" s="481" t="str">
        <f t="shared" si="6"/>
        <v/>
      </c>
      <c r="O29" s="545" t="s">
        <v>739</v>
      </c>
      <c r="P29" s="545" t="s">
        <v>314</v>
      </c>
      <c r="Q29" s="545"/>
      <c r="R29" s="545" t="s">
        <v>314</v>
      </c>
      <c r="S29" s="545"/>
      <c r="T29" s="55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483" t="s">
        <v>2068</v>
      </c>
      <c r="V29" s="483"/>
      <c r="W29" s="483" t="s">
        <v>2068</v>
      </c>
      <c r="X29" s="480"/>
      <c r="Y29" s="585"/>
      <c r="Z29" s="483"/>
      <c r="AA29" s="486"/>
      <c r="AB29" s="483"/>
      <c r="AC29" s="483"/>
      <c r="AD29" s="483"/>
    </row>
    <row r="30" spans="1:30" ht="54" customHeight="1">
      <c r="A30" s="482"/>
      <c r="B30" s="521">
        <v>13</v>
      </c>
      <c r="C30" s="480">
        <v>9</v>
      </c>
      <c r="D30" s="555"/>
      <c r="E30" s="480"/>
      <c r="F30" s="480"/>
      <c r="G30" s="516"/>
      <c r="H30" s="546"/>
      <c r="I30" s="588" t="str">
        <f t="shared" si="1"/>
        <v>2.6</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f t="shared" si="3"/>
        <v>0</v>
      </c>
      <c r="L30" s="481" t="str">
        <f t="shared" si="4"/>
        <v>2.6</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
      </c>
      <c r="O30" s="545" t="s">
        <v>741</v>
      </c>
      <c r="P30" s="545" t="s">
        <v>732</v>
      </c>
      <c r="Q30" s="545" t="s">
        <v>741</v>
      </c>
      <c r="R30" s="545" t="s">
        <v>732</v>
      </c>
      <c r="S30" s="545"/>
      <c r="T30" s="552" t="s">
        <v>2069</v>
      </c>
      <c r="U30" s="483" t="s">
        <v>2069</v>
      </c>
      <c r="V30" s="483" t="s">
        <v>2069</v>
      </c>
      <c r="W30" s="483" t="s">
        <v>2069</v>
      </c>
      <c r="X30" s="480"/>
      <c r="Y30" s="585"/>
      <c r="Z30" s="483"/>
      <c r="AA30" s="486" t="s">
        <v>2070</v>
      </c>
      <c r="AB30" s="486" t="s">
        <v>2070</v>
      </c>
      <c r="AC30" s="486" t="s">
        <v>2070</v>
      </c>
      <c r="AD30" s="483"/>
    </row>
    <row r="31" spans="1:30" ht="18" customHeight="1">
      <c r="A31" s="482"/>
      <c r="B31" s="521">
        <v>14</v>
      </c>
      <c r="C31" s="480" t="s">
        <v>2071</v>
      </c>
      <c r="D31" s="555"/>
      <c r="E31" s="480"/>
      <c r="F31" s="480"/>
      <c r="G31" s="516"/>
      <c r="H31" s="546"/>
      <c r="I31" s="588" t="str">
        <f t="shared" si="1"/>
        <v>2.6.1</v>
      </c>
      <c r="J31" s="588" t="str">
        <f t="shared" si="2"/>
        <v>Расходы на оплату труда основного производственного персонала</v>
      </c>
      <c r="K31" s="588">
        <f t="shared" si="3"/>
        <v>0</v>
      </c>
      <c r="L31" s="481" t="str">
        <f t="shared" si="4"/>
        <v>2.6.1</v>
      </c>
      <c r="M31" s="481" t="str">
        <f t="shared" si="5"/>
        <v>Расходы на оплату труда основного производственного персонала</v>
      </c>
      <c r="N31" s="481" t="str">
        <f t="shared" si="6"/>
        <v/>
      </c>
      <c r="O31" s="545" t="s">
        <v>2072</v>
      </c>
      <c r="P31" s="545" t="s">
        <v>735</v>
      </c>
      <c r="Q31" s="545" t="s">
        <v>2072</v>
      </c>
      <c r="R31" s="545" t="s">
        <v>735</v>
      </c>
      <c r="S31" s="545"/>
      <c r="T31" s="553" t="s">
        <v>2073</v>
      </c>
      <c r="U31" s="483" t="s">
        <v>2073</v>
      </c>
      <c r="V31" s="483" t="s">
        <v>2073</v>
      </c>
      <c r="W31" s="483" t="s">
        <v>2073</v>
      </c>
      <c r="X31" s="480"/>
      <c r="Y31" s="585"/>
      <c r="Z31" s="483"/>
      <c r="AA31" s="486"/>
      <c r="AB31" s="486"/>
      <c r="AC31" s="486"/>
      <c r="AD31" s="483"/>
    </row>
    <row r="32" spans="1:30" ht="36" customHeight="1">
      <c r="A32" s="482"/>
      <c r="B32" s="521">
        <v>15</v>
      </c>
      <c r="C32" s="480" t="s">
        <v>2074</v>
      </c>
      <c r="D32" s="555"/>
      <c r="E32" s="480"/>
      <c r="F32" s="480"/>
      <c r="G32" s="516"/>
      <c r="H32" s="546"/>
      <c r="I32" s="588" t="str">
        <f t="shared" si="1"/>
        <v>2.6.2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2.6.2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2075</v>
      </c>
      <c r="P32" s="545" t="s">
        <v>737</v>
      </c>
      <c r="Q32" s="545" t="s">
        <v>2075</v>
      </c>
      <c r="R32" s="545" t="s">
        <v>737</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483" t="s">
        <v>2076</v>
      </c>
      <c r="V32" s="483" t="s">
        <v>2076</v>
      </c>
      <c r="W32" s="483" t="s">
        <v>2076</v>
      </c>
      <c r="X32" s="480"/>
      <c r="Y32" s="585"/>
      <c r="Z32" s="483"/>
      <c r="AA32" s="486"/>
      <c r="AB32" s="486"/>
      <c r="AC32" s="486"/>
      <c r="AD32" s="483"/>
    </row>
    <row r="33" spans="1:30" ht="45" customHeight="1">
      <c r="A33" s="482"/>
      <c r="B33" s="521">
        <v>16</v>
      </c>
      <c r="C33" s="480">
        <v>10</v>
      </c>
      <c r="D33" s="555"/>
      <c r="E33" s="480"/>
      <c r="F33" s="480"/>
      <c r="G33" s="516"/>
      <c r="H33" s="546"/>
      <c r="I33" s="588" t="str">
        <f t="shared" si="1"/>
        <v>2.7</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8">
        <f t="shared" si="3"/>
        <v>0</v>
      </c>
      <c r="L33" s="481" t="str">
        <f t="shared" si="4"/>
        <v>2.7</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1" t="str">
        <f t="shared" si="6"/>
        <v/>
      </c>
      <c r="O33" s="545" t="s">
        <v>743</v>
      </c>
      <c r="P33" s="545" t="s">
        <v>739</v>
      </c>
      <c r="Q33" s="545" t="s">
        <v>743</v>
      </c>
      <c r="R33" s="545" t="s">
        <v>739</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483" t="s">
        <v>2077</v>
      </c>
      <c r="V33" s="483" t="s">
        <v>2077</v>
      </c>
      <c r="W33" s="483" t="s">
        <v>2078</v>
      </c>
      <c r="X33" s="480"/>
      <c r="Y33" s="585"/>
      <c r="Z33" s="483"/>
      <c r="AA33" s="486" t="s">
        <v>2079</v>
      </c>
      <c r="AB33" s="486" t="s">
        <v>2079</v>
      </c>
      <c r="AC33" s="486" t="s">
        <v>2079</v>
      </c>
      <c r="AD33" s="483"/>
    </row>
    <row r="34" spans="1:30" ht="27" customHeight="1">
      <c r="A34" s="482"/>
      <c r="B34" s="521">
        <v>17</v>
      </c>
      <c r="C34" s="480" t="s">
        <v>2080</v>
      </c>
      <c r="D34" s="555"/>
      <c r="E34" s="480"/>
      <c r="F34" s="480"/>
      <c r="G34" s="516"/>
      <c r="H34" s="546"/>
      <c r="I34" s="588" t="str">
        <f t="shared" si="1"/>
        <v>2.7.1</v>
      </c>
      <c r="J34" s="588" t="str">
        <f t="shared" si="2"/>
        <v>Расходы на оплату труда административно-управленческого персонала</v>
      </c>
      <c r="K34" s="588">
        <f t="shared" si="3"/>
        <v>0</v>
      </c>
      <c r="L34" s="481" t="str">
        <f t="shared" si="4"/>
        <v>2.7.1</v>
      </c>
      <c r="M34" s="481" t="str">
        <f t="shared" si="5"/>
        <v>Расходы на оплату труда административно-управленческого персонала</v>
      </c>
      <c r="N34" s="481" t="str">
        <f t="shared" si="6"/>
        <v/>
      </c>
      <c r="O34" s="545" t="s">
        <v>2081</v>
      </c>
      <c r="P34" s="545" t="s">
        <v>2063</v>
      </c>
      <c r="Q34" s="545" t="s">
        <v>2081</v>
      </c>
      <c r="R34" s="545" t="s">
        <v>2063</v>
      </c>
      <c r="S34" s="545"/>
      <c r="T34" s="554" t="s">
        <v>2082</v>
      </c>
      <c r="U34" s="483" t="s">
        <v>2082</v>
      </c>
      <c r="V34" s="483" t="s">
        <v>2082</v>
      </c>
      <c r="W34" s="483" t="s">
        <v>2083</v>
      </c>
      <c r="X34" s="480"/>
      <c r="Y34" s="585"/>
      <c r="Z34" s="483"/>
      <c r="AA34" s="486"/>
      <c r="AB34" s="483"/>
      <c r="AC34" s="483"/>
      <c r="AD34" s="483"/>
    </row>
    <row r="35" spans="1:30" ht="45" customHeight="1">
      <c r="A35" s="482"/>
      <c r="B35" s="521">
        <v>18</v>
      </c>
      <c r="C35" s="480" t="s">
        <v>2084</v>
      </c>
      <c r="D35" s="555"/>
      <c r="E35" s="480"/>
      <c r="F35" s="480"/>
      <c r="G35" s="516"/>
      <c r="H35" s="546"/>
      <c r="I35" s="588" t="str">
        <f t="shared" si="1"/>
        <v>2.7.2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2.7.2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2085</v>
      </c>
      <c r="P35" s="545" t="s">
        <v>2065</v>
      </c>
      <c r="Q35" s="545" t="s">
        <v>2085</v>
      </c>
      <c r="R35" s="545" t="s">
        <v>2065</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483" t="s">
        <v>2086</v>
      </c>
      <c r="V35" s="483" t="s">
        <v>2086</v>
      </c>
      <c r="W35" s="483" t="s">
        <v>2086</v>
      </c>
      <c r="X35" s="480"/>
      <c r="Y35" s="585"/>
      <c r="Z35" s="483"/>
      <c r="AA35" s="486"/>
      <c r="AB35" s="483"/>
      <c r="AC35" s="483"/>
      <c r="AD35" s="483"/>
    </row>
    <row r="36" spans="1:30" ht="18" customHeight="1">
      <c r="A36" s="482"/>
      <c r="B36" s="521">
        <v>19</v>
      </c>
      <c r="C36" s="480">
        <v>11</v>
      </c>
      <c r="D36" s="555"/>
      <c r="E36" s="480"/>
      <c r="F36" s="480"/>
      <c r="G36" s="516"/>
      <c r="H36" s="546"/>
      <c r="I36" s="588" t="str">
        <f t="shared" si="1"/>
        <v>2.8</v>
      </c>
      <c r="J36" s="588" t="str">
        <f t="shared" si="2"/>
        <v>Расходы на амортизацию основных средств и нематериальных активов</v>
      </c>
      <c r="K36" s="588">
        <f t="shared" si="3"/>
        <v>0</v>
      </c>
      <c r="L36" s="481" t="str">
        <f t="shared" si="4"/>
        <v>2.8</v>
      </c>
      <c r="M36" s="481" t="str">
        <f t="shared" si="5"/>
        <v>Расходы на амортизацию основных средств и нематериальных активов</v>
      </c>
      <c r="N36" s="481" t="str">
        <f t="shared" si="6"/>
        <v/>
      </c>
      <c r="O36" s="545" t="s">
        <v>745</v>
      </c>
      <c r="P36" s="545" t="s">
        <v>741</v>
      </c>
      <c r="Q36" s="545" t="s">
        <v>745</v>
      </c>
      <c r="R36" s="545" t="s">
        <v>741</v>
      </c>
      <c r="S36" s="545"/>
      <c r="T36" s="552" t="s">
        <v>2087</v>
      </c>
      <c r="U36" s="483" t="s">
        <v>2087</v>
      </c>
      <c r="V36" s="483" t="s">
        <v>2087</v>
      </c>
      <c r="W36" s="483" t="s">
        <v>2087</v>
      </c>
      <c r="X36" s="480"/>
      <c r="Y36" s="585"/>
      <c r="Z36" s="483"/>
      <c r="AA36" s="486"/>
      <c r="AB36" s="483"/>
      <c r="AC36" s="483"/>
      <c r="AD36" s="483"/>
    </row>
    <row r="37" spans="1:30" ht="18" customHeight="1">
      <c r="A37" s="482"/>
      <c r="B37" s="521">
        <v>20</v>
      </c>
      <c r="C37" s="480" t="s">
        <v>2088</v>
      </c>
      <c r="D37" s="555"/>
      <c r="E37" s="480"/>
      <c r="F37" s="480"/>
      <c r="G37" s="516"/>
      <c r="H37" s="546"/>
      <c r="I37" s="588" t="str">
        <f t="shared" si="1"/>
        <v>2.8.1</v>
      </c>
      <c r="J37" s="588" t="str">
        <f t="shared" si="2"/>
        <v>Расходы на амортизацию основных средств</v>
      </c>
      <c r="K37" s="588">
        <f t="shared" si="3"/>
        <v>0</v>
      </c>
      <c r="L37" s="481" t="str">
        <f t="shared" si="4"/>
        <v>2.8.1</v>
      </c>
      <c r="M37" s="481" t="str">
        <f t="shared" si="5"/>
        <v>Расходы на амортизацию основных средств</v>
      </c>
      <c r="N37" s="481" t="str">
        <f t="shared" si="6"/>
        <v/>
      </c>
      <c r="O37" s="545" t="s">
        <v>2089</v>
      </c>
      <c r="P37" s="545" t="s">
        <v>2072</v>
      </c>
      <c r="Q37" s="545" t="s">
        <v>2089</v>
      </c>
      <c r="R37" s="545" t="s">
        <v>2072</v>
      </c>
      <c r="S37" s="545"/>
      <c r="T37" s="552" t="s">
        <v>2090</v>
      </c>
      <c r="U37" s="483" t="s">
        <v>2090</v>
      </c>
      <c r="V37" s="483" t="s">
        <v>2090</v>
      </c>
      <c r="W37" s="483" t="s">
        <v>2090</v>
      </c>
      <c r="X37" s="480"/>
      <c r="Y37" s="585"/>
      <c r="Z37" s="483"/>
      <c r="AA37" s="486"/>
      <c r="AB37" s="483"/>
      <c r="AC37" s="483"/>
      <c r="AD37" s="483"/>
    </row>
    <row r="38" spans="1:30" ht="18" customHeight="1">
      <c r="A38" s="482"/>
      <c r="B38" s="521">
        <v>21</v>
      </c>
      <c r="C38" s="480" t="s">
        <v>2091</v>
      </c>
      <c r="D38" s="555"/>
      <c r="E38" s="480"/>
      <c r="F38" s="480"/>
      <c r="G38" s="516"/>
      <c r="H38" s="546"/>
      <c r="I38" s="588" t="str">
        <f t="shared" si="1"/>
        <v>2.8.2</v>
      </c>
      <c r="J38" s="588" t="str">
        <f t="shared" si="2"/>
        <v>Расходы на амортизацию нематериальных активов</v>
      </c>
      <c r="K38" s="588">
        <f t="shared" si="3"/>
        <v>0</v>
      </c>
      <c r="L38" s="481" t="str">
        <f t="shared" si="4"/>
        <v>2.8.2</v>
      </c>
      <c r="M38" s="481" t="str">
        <f t="shared" si="5"/>
        <v>Расходы на амортизацию нематериальных активов</v>
      </c>
      <c r="N38" s="481" t="str">
        <f t="shared" si="6"/>
        <v/>
      </c>
      <c r="O38" s="545" t="s">
        <v>2092</v>
      </c>
      <c r="P38" s="545" t="s">
        <v>2075</v>
      </c>
      <c r="Q38" s="545" t="s">
        <v>2092</v>
      </c>
      <c r="R38" s="545" t="s">
        <v>2075</v>
      </c>
      <c r="S38" s="545"/>
      <c r="T38" s="552" t="s">
        <v>2093</v>
      </c>
      <c r="U38" s="483" t="s">
        <v>2093</v>
      </c>
      <c r="V38" s="483" t="s">
        <v>2093</v>
      </c>
      <c r="W38" s="483" t="s">
        <v>2093</v>
      </c>
      <c r="X38" s="480"/>
      <c r="Y38" s="585"/>
      <c r="Z38" s="483"/>
      <c r="AA38" s="486"/>
      <c r="AB38" s="483"/>
      <c r="AC38" s="483"/>
      <c r="AD38" s="483"/>
    </row>
    <row r="39" spans="1:30" ht="36" customHeight="1">
      <c r="A39" s="482"/>
      <c r="B39" s="521">
        <v>22</v>
      </c>
      <c r="C39" s="480">
        <v>12</v>
      </c>
      <c r="D39" s="555"/>
      <c r="E39" s="480"/>
      <c r="F39" s="480"/>
      <c r="G39" s="516"/>
      <c r="H39" s="546"/>
      <c r="I39" s="588" t="str">
        <f t="shared" si="1"/>
        <v>2.9</v>
      </c>
      <c r="J39" s="588" t="str">
        <f t="shared" si="2"/>
        <v>Расходы на аренду имущества, используемого для осуществления регулируемого вида деятельности</v>
      </c>
      <c r="K39" s="588">
        <f t="shared" si="3"/>
        <v>0</v>
      </c>
      <c r="L39" s="481" t="str">
        <f t="shared" si="4"/>
        <v>2.9</v>
      </c>
      <c r="M39" s="481" t="str">
        <f t="shared" si="5"/>
        <v>Расходы на аренду имущества, используемого для осуществления регулируемого вида деятельности</v>
      </c>
      <c r="N39" s="481" t="str">
        <f t="shared" si="6"/>
        <v/>
      </c>
      <c r="O39" s="545" t="s">
        <v>749</v>
      </c>
      <c r="P39" s="545" t="s">
        <v>743</v>
      </c>
      <c r="Q39" s="545" t="s">
        <v>749</v>
      </c>
      <c r="R39" s="545" t="s">
        <v>743</v>
      </c>
      <c r="S39" s="545"/>
      <c r="T39" s="552" t="s">
        <v>2094</v>
      </c>
      <c r="U39" s="483" t="s">
        <v>2095</v>
      </c>
      <c r="V39" s="483" t="s">
        <v>2096</v>
      </c>
      <c r="W39" s="483" t="s">
        <v>2097</v>
      </c>
      <c r="X39" s="480"/>
      <c r="Y39" s="585"/>
      <c r="Z39" s="483"/>
      <c r="AA39" s="486"/>
      <c r="AB39" s="483"/>
      <c r="AC39" s="483"/>
      <c r="AD39" s="483"/>
    </row>
    <row r="40" spans="1:30" ht="18" customHeight="1">
      <c r="A40" s="482"/>
      <c r="B40" s="521">
        <v>23</v>
      </c>
      <c r="C40" s="480">
        <v>13</v>
      </c>
      <c r="D40" s="555"/>
      <c r="E40" s="480"/>
      <c r="F40" s="480"/>
      <c r="G40" s="480"/>
      <c r="H40" s="519"/>
      <c r="I40" s="588" t="str">
        <f t="shared" si="1"/>
        <v>2.10</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2.10</v>
      </c>
      <c r="M40" s="481" t="str">
        <f t="shared" si="5"/>
        <v>Общепроизводственные расходы, в том числе:</v>
      </c>
      <c r="N40" s="481" t="str">
        <f t="shared" si="6"/>
        <v>Указывается общая сумма общепроизводственных расходов.</v>
      </c>
      <c r="O40" s="545" t="s">
        <v>2098</v>
      </c>
      <c r="P40" s="545" t="s">
        <v>745</v>
      </c>
      <c r="Q40" s="545" t="s">
        <v>2098</v>
      </c>
      <c r="R40" s="545" t="s">
        <v>745</v>
      </c>
      <c r="S40" s="545"/>
      <c r="T40" s="480" t="s">
        <v>2099</v>
      </c>
      <c r="U40" s="480" t="s">
        <v>2099</v>
      </c>
      <c r="V40" s="480" t="s">
        <v>2099</v>
      </c>
      <c r="W40" s="480" t="s">
        <v>2099</v>
      </c>
      <c r="X40" s="480"/>
      <c r="Y40" s="585"/>
      <c r="Z40" s="483" t="s">
        <v>2100</v>
      </c>
      <c r="AA40" s="486" t="s">
        <v>2100</v>
      </c>
      <c r="AB40" s="486" t="s">
        <v>2100</v>
      </c>
      <c r="AC40" s="486" t="s">
        <v>2100</v>
      </c>
      <c r="AD40" s="483"/>
    </row>
    <row r="41" spans="1:30" ht="27" customHeight="1">
      <c r="A41" s="482"/>
      <c r="B41" s="521">
        <v>24</v>
      </c>
      <c r="C41" s="480" t="s">
        <v>2101</v>
      </c>
      <c r="D41" s="555"/>
      <c r="E41" s="480"/>
      <c r="F41" s="480"/>
      <c r="G41" s="480"/>
      <c r="H41" s="516"/>
      <c r="I41" s="588" t="str">
        <f t="shared" si="1"/>
        <v>2.10.1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2.10.1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2102</v>
      </c>
      <c r="P41" s="545" t="s">
        <v>2089</v>
      </c>
      <c r="Q41" s="545" t="s">
        <v>2102</v>
      </c>
      <c r="R41" s="545" t="s">
        <v>2089</v>
      </c>
      <c r="S41" s="545"/>
      <c r="T41" s="480" t="s">
        <v>2103</v>
      </c>
      <c r="U41" s="480" t="s">
        <v>2103</v>
      </c>
      <c r="V41" s="480" t="s">
        <v>2103</v>
      </c>
      <c r="W41" s="480" t="s">
        <v>2103</v>
      </c>
      <c r="X41" s="480"/>
      <c r="Y41" s="585"/>
      <c r="Z41" s="483" t="s">
        <v>2104</v>
      </c>
      <c r="AA41" s="483" t="s">
        <v>2104</v>
      </c>
      <c r="AB41" s="483" t="s">
        <v>2104</v>
      </c>
      <c r="AC41" s="483" t="s">
        <v>2104</v>
      </c>
      <c r="AD41" s="483"/>
    </row>
    <row r="42" spans="1:30" ht="27" customHeight="1">
      <c r="A42" s="482"/>
      <c r="B42" s="521">
        <v>25</v>
      </c>
      <c r="C42" s="480" t="s">
        <v>2105</v>
      </c>
      <c r="D42" s="555"/>
      <c r="E42" s="480"/>
      <c r="F42" s="480"/>
      <c r="G42" s="480"/>
      <c r="H42" s="516"/>
      <c r="I42" s="588" t="str">
        <f t="shared" si="1"/>
        <v>2.10.2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2.10.2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2106</v>
      </c>
      <c r="P42" s="545" t="s">
        <v>2092</v>
      </c>
      <c r="Q42" s="545" t="s">
        <v>2106</v>
      </c>
      <c r="R42" s="545" t="s">
        <v>2092</v>
      </c>
      <c r="S42" s="545"/>
      <c r="T42" s="480" t="s">
        <v>2107</v>
      </c>
      <c r="U42" s="480" t="s">
        <v>2107</v>
      </c>
      <c r="V42" s="480" t="s">
        <v>2107</v>
      </c>
      <c r="W42" s="480" t="s">
        <v>2107</v>
      </c>
      <c r="X42" s="480"/>
      <c r="Y42" s="585"/>
      <c r="Z42" s="483" t="s">
        <v>2108</v>
      </c>
      <c r="AA42" s="483" t="s">
        <v>2108</v>
      </c>
      <c r="AB42" s="483" t="s">
        <v>2108</v>
      </c>
      <c r="AC42" s="483" t="s">
        <v>2108</v>
      </c>
      <c r="AD42" s="483"/>
    </row>
    <row r="43" spans="1:30" ht="18" customHeight="1">
      <c r="A43" s="482"/>
      <c r="B43" s="521">
        <v>26</v>
      </c>
      <c r="C43" s="480">
        <v>14</v>
      </c>
      <c r="D43" s="555"/>
      <c r="E43" s="480"/>
      <c r="F43" s="480"/>
      <c r="G43" s="480"/>
      <c r="H43" s="516"/>
      <c r="I43" s="588" t="str">
        <f t="shared" si="1"/>
        <v>2.11</v>
      </c>
      <c r="J43" s="588" t="str">
        <f t="shared" si="2"/>
        <v>Общехозяйственные расходы, в том числе:</v>
      </c>
      <c r="K43" s="588" t="str">
        <f t="shared" si="3"/>
        <v>Указывается общая сумма общехозяйственных расходов.</v>
      </c>
      <c r="L43" s="481" t="str">
        <f t="shared" si="4"/>
        <v>2.11</v>
      </c>
      <c r="M43" s="481" t="str">
        <f t="shared" si="5"/>
        <v>Общехозяйственные расходы, в том числе:</v>
      </c>
      <c r="N43" s="481" t="str">
        <f t="shared" si="6"/>
        <v>Указывается общая сумма общехозяйственных расходов.</v>
      </c>
      <c r="O43" s="545" t="s">
        <v>2109</v>
      </c>
      <c r="P43" s="545" t="s">
        <v>749</v>
      </c>
      <c r="Q43" s="545" t="s">
        <v>2109</v>
      </c>
      <c r="R43" s="545" t="s">
        <v>749</v>
      </c>
      <c r="S43" s="545"/>
      <c r="T43" s="480" t="s">
        <v>2110</v>
      </c>
      <c r="U43" s="480" t="s">
        <v>2110</v>
      </c>
      <c r="V43" s="480" t="s">
        <v>2110</v>
      </c>
      <c r="W43" s="480" t="s">
        <v>2110</v>
      </c>
      <c r="X43" s="480"/>
      <c r="Y43" s="585"/>
      <c r="Z43" s="483" t="s">
        <v>2111</v>
      </c>
      <c r="AA43" s="483" t="s">
        <v>2111</v>
      </c>
      <c r="AB43" s="483" t="s">
        <v>2111</v>
      </c>
      <c r="AC43" s="483" t="s">
        <v>2111</v>
      </c>
      <c r="AD43" s="483"/>
    </row>
    <row r="44" spans="1:30" ht="27" customHeight="1">
      <c r="A44" s="482"/>
      <c r="B44" s="521">
        <v>27</v>
      </c>
      <c r="C44" s="480" t="s">
        <v>2112</v>
      </c>
      <c r="D44" s="555"/>
      <c r="E44" s="480"/>
      <c r="F44" s="480"/>
      <c r="G44" s="480"/>
      <c r="H44" s="516"/>
      <c r="I44" s="588" t="str">
        <f t="shared" si="1"/>
        <v>2.11.1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2.11.1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2113</v>
      </c>
      <c r="P44" s="545" t="s">
        <v>2114</v>
      </c>
      <c r="Q44" s="545" t="s">
        <v>2113</v>
      </c>
      <c r="R44" s="545" t="s">
        <v>2114</v>
      </c>
      <c r="S44" s="545"/>
      <c r="T44" s="480" t="s">
        <v>2103</v>
      </c>
      <c r="U44" s="480" t="s">
        <v>2103</v>
      </c>
      <c r="V44" s="480" t="s">
        <v>2103</v>
      </c>
      <c r="W44" s="480" t="s">
        <v>2103</v>
      </c>
      <c r="X44" s="480"/>
      <c r="Y44" s="585"/>
      <c r="Z44" s="483" t="s">
        <v>2115</v>
      </c>
      <c r="AA44" s="483" t="s">
        <v>2115</v>
      </c>
      <c r="AB44" s="483" t="s">
        <v>2115</v>
      </c>
      <c r="AC44" s="483" t="s">
        <v>2115</v>
      </c>
      <c r="AD44" s="483"/>
    </row>
    <row r="45" spans="1:30" ht="27" customHeight="1">
      <c r="A45" s="482"/>
      <c r="B45" s="521">
        <v>28</v>
      </c>
      <c r="C45" s="480" t="s">
        <v>2116</v>
      </c>
      <c r="D45" s="555"/>
      <c r="E45" s="480"/>
      <c r="F45" s="480"/>
      <c r="G45" s="480"/>
      <c r="H45" s="516"/>
      <c r="I45" s="588" t="str">
        <f t="shared" si="1"/>
        <v>2.11.2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2.11.2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2117</v>
      </c>
      <c r="P45" s="545" t="s">
        <v>2118</v>
      </c>
      <c r="Q45" s="545" t="s">
        <v>2117</v>
      </c>
      <c r="R45" s="545" t="s">
        <v>2118</v>
      </c>
      <c r="S45" s="545"/>
      <c r="T45" s="480" t="s">
        <v>2107</v>
      </c>
      <c r="U45" s="480" t="s">
        <v>2107</v>
      </c>
      <c r="V45" s="480" t="s">
        <v>2107</v>
      </c>
      <c r="W45" s="480" t="s">
        <v>2107</v>
      </c>
      <c r="X45" s="480"/>
      <c r="Y45" s="585"/>
      <c r="Z45" s="483" t="s">
        <v>2119</v>
      </c>
      <c r="AA45" s="483" t="s">
        <v>2119</v>
      </c>
      <c r="AB45" s="483" t="s">
        <v>2119</v>
      </c>
      <c r="AC45" s="483" t="s">
        <v>2119</v>
      </c>
      <c r="AD45" s="483"/>
    </row>
    <row r="46" spans="1:30" ht="54" customHeight="1">
      <c r="A46" s="482"/>
      <c r="B46" s="521">
        <v>29</v>
      </c>
      <c r="C46" s="480">
        <v>15</v>
      </c>
      <c r="D46" s="555"/>
      <c r="E46" s="480"/>
      <c r="F46" s="480"/>
      <c r="G46" s="480"/>
      <c r="H46" s="516"/>
      <c r="I46" s="588" t="str">
        <f t="shared" si="1"/>
        <v>2.12</v>
      </c>
      <c r="J46" s="588" t="str">
        <f t="shared" si="2"/>
        <v>Расходы на капитальный и текущий ремонт основных средств</v>
      </c>
      <c r="K46" s="58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2.12</v>
      </c>
      <c r="M46" s="481" t="str">
        <f t="shared" si="5"/>
        <v>Расходы на капитальный и текущий ремонт основных средств</v>
      </c>
      <c r="N46" s="48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2120</v>
      </c>
      <c r="P46" s="545" t="s">
        <v>2098</v>
      </c>
      <c r="Q46" s="545" t="s">
        <v>2120</v>
      </c>
      <c r="R46" s="545" t="s">
        <v>2098</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480" t="s">
        <v>2121</v>
      </c>
      <c r="V46" s="480" t="s">
        <v>2121</v>
      </c>
      <c r="W46" s="480" t="s">
        <v>2121</v>
      </c>
      <c r="X46" s="480"/>
      <c r="Y46" s="585"/>
      <c r="Z46" s="483" t="s">
        <v>2122</v>
      </c>
      <c r="AA46" s="483" t="s">
        <v>2123</v>
      </c>
      <c r="AB46" s="483" t="s">
        <v>2123</v>
      </c>
      <c r="AC46" s="483" t="s">
        <v>2123</v>
      </c>
      <c r="AD46" s="483"/>
    </row>
    <row r="47" spans="1:30" ht="54" customHeight="1">
      <c r="A47" s="482"/>
      <c r="B47" s="521">
        <v>30</v>
      </c>
      <c r="C47" s="480" t="s">
        <v>2124</v>
      </c>
      <c r="D47" s="555"/>
      <c r="E47" s="480"/>
      <c r="F47" s="480"/>
      <c r="G47" s="480"/>
      <c r="H47" s="516"/>
      <c r="I47" s="588" t="str">
        <f t="shared" si="1"/>
        <v>2.12.1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2.12.1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2125</v>
      </c>
      <c r="P47" s="545" t="s">
        <v>2102</v>
      </c>
      <c r="Q47" s="545" t="s">
        <v>2125</v>
      </c>
      <c r="R47" s="545" t="s">
        <v>2102</v>
      </c>
      <c r="S47" s="545"/>
      <c r="T47" s="480" t="s">
        <v>2126</v>
      </c>
      <c r="U47" s="480" t="s">
        <v>2126</v>
      </c>
      <c r="V47" s="480" t="s">
        <v>2126</v>
      </c>
      <c r="W47" s="480" t="s">
        <v>2126</v>
      </c>
      <c r="X47" s="480"/>
      <c r="Y47" s="585"/>
      <c r="Z47" s="483"/>
      <c r="AA47" s="486"/>
      <c r="AB47" s="486"/>
      <c r="AC47" s="486"/>
      <c r="AD47" s="483"/>
    </row>
    <row r="48" spans="1:30" ht="54" customHeight="1">
      <c r="A48" s="482"/>
      <c r="B48" s="521">
        <v>31</v>
      </c>
      <c r="C48" s="480">
        <v>16</v>
      </c>
      <c r="D48" s="555"/>
      <c r="E48" s="480"/>
      <c r="F48" s="480"/>
      <c r="G48" s="480"/>
      <c r="H48" s="516"/>
      <c r="I48" s="588">
        <f t="shared" si="1"/>
        <v>0</v>
      </c>
      <c r="J48" s="588">
        <f t="shared" si="2"/>
        <v>0</v>
      </c>
      <c r="K48" s="588">
        <f t="shared" si="3"/>
        <v>0</v>
      </c>
      <c r="L48" s="481" t="str">
        <f t="shared" si="4"/>
        <v/>
      </c>
      <c r="M48" s="481" t="str">
        <f t="shared" si="5"/>
        <v/>
      </c>
      <c r="N48" s="481" t="str">
        <f t="shared" si="6"/>
        <v/>
      </c>
      <c r="O48" s="545"/>
      <c r="P48" s="545" t="s">
        <v>2109</v>
      </c>
      <c r="Q48" s="545" t="s">
        <v>2127</v>
      </c>
      <c r="R48" s="545" t="s">
        <v>2109</v>
      </c>
      <c r="S48" s="545"/>
      <c r="T48" s="480"/>
      <c r="U48" s="480" t="s">
        <v>2128</v>
      </c>
      <c r="V48" s="480" t="s">
        <v>2129</v>
      </c>
      <c r="W48" s="480" t="s">
        <v>2129</v>
      </c>
      <c r="X48" s="480"/>
      <c r="Y48" s="585"/>
      <c r="Z48" s="483"/>
      <c r="AA48" s="486" t="s">
        <v>2123</v>
      </c>
      <c r="AB48" s="486" t="s">
        <v>2123</v>
      </c>
      <c r="AC48" s="486" t="s">
        <v>2123</v>
      </c>
      <c r="AD48" s="483"/>
    </row>
    <row r="49" spans="1:30" ht="54" customHeight="1">
      <c r="A49" s="482"/>
      <c r="B49" s="521">
        <v>32</v>
      </c>
      <c r="C49" s="480" t="s">
        <v>2130</v>
      </c>
      <c r="D49" s="555"/>
      <c r="E49" s="480"/>
      <c r="F49" s="480"/>
      <c r="G49" s="480"/>
      <c r="H49" s="516"/>
      <c r="I49" s="588">
        <f t="shared" si="1"/>
        <v>0</v>
      </c>
      <c r="J49" s="588">
        <f t="shared" si="2"/>
        <v>0</v>
      </c>
      <c r="K49" s="588">
        <f t="shared" si="3"/>
        <v>0</v>
      </c>
      <c r="L49" s="481" t="str">
        <f t="shared" si="4"/>
        <v/>
      </c>
      <c r="M49" s="481" t="str">
        <f t="shared" si="5"/>
        <v/>
      </c>
      <c r="N49" s="481" t="str">
        <f t="shared" si="6"/>
        <v/>
      </c>
      <c r="O49" s="545"/>
      <c r="P49" s="545" t="s">
        <v>2113</v>
      </c>
      <c r="Q49" s="545" t="s">
        <v>2131</v>
      </c>
      <c r="R49" s="545" t="s">
        <v>2113</v>
      </c>
      <c r="S49" s="545"/>
      <c r="T49" s="480"/>
      <c r="U49" s="480" t="s">
        <v>2126</v>
      </c>
      <c r="V49" s="480" t="s">
        <v>2126</v>
      </c>
      <c r="W49" s="480" t="s">
        <v>2126</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2.13</v>
      </c>
      <c r="J50" s="58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481" t="str">
        <f t="shared" ref="L50:L81" si="10">IF(I50=0,"",I50)</f>
        <v>2.13</v>
      </c>
      <c r="M50" s="48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48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545" t="s">
        <v>2127</v>
      </c>
      <c r="P50" s="545" t="s">
        <v>2120</v>
      </c>
      <c r="Q50" s="545" t="s">
        <v>2132</v>
      </c>
      <c r="R50" s="545" t="s">
        <v>2120</v>
      </c>
      <c r="S50" s="545"/>
      <c r="T50" s="480" t="s">
        <v>2133</v>
      </c>
      <c r="U50" s="480" t="s">
        <v>2134</v>
      </c>
      <c r="V50" s="480" t="s">
        <v>2135</v>
      </c>
      <c r="W50" s="480" t="s">
        <v>2136</v>
      </c>
      <c r="X50" s="480"/>
      <c r="Y50" s="585"/>
      <c r="Z50" s="483" t="s">
        <v>2137</v>
      </c>
      <c r="AA50" s="486" t="s">
        <v>2138</v>
      </c>
      <c r="AB50" s="486" t="s">
        <v>2138</v>
      </c>
      <c r="AC50" s="486" t="s">
        <v>2138</v>
      </c>
      <c r="AD50" s="483"/>
    </row>
    <row r="51" spans="1:30" ht="27" customHeight="1">
      <c r="A51" s="482"/>
      <c r="B51" s="521">
        <v>34</v>
      </c>
      <c r="C51" s="480" t="s">
        <v>2139</v>
      </c>
      <c r="D51" s="555"/>
      <c r="E51" s="480"/>
      <c r="F51" s="480"/>
      <c r="G51" s="480"/>
      <c r="H51" s="516"/>
      <c r="I51" s="588" t="str">
        <f t="shared" si="7"/>
        <v>3</v>
      </c>
      <c r="J51" s="588" t="str">
        <f t="shared" si="8"/>
        <v>Валовая прибыль (убытки) от реализации товаров и оказания услуг по регулируемому виду деятельности</v>
      </c>
      <c r="K51" s="588">
        <f t="shared" si="9"/>
        <v>0</v>
      </c>
      <c r="L51" s="481" t="str">
        <f t="shared" si="10"/>
        <v>3</v>
      </c>
      <c r="M51" s="481" t="str">
        <f t="shared" si="11"/>
        <v>Валовая прибыль (убытки) от реализации товаров и оказания услуг по регулируемому виду деятельности</v>
      </c>
      <c r="N51" s="481" t="str">
        <f t="shared" si="12"/>
        <v/>
      </c>
      <c r="O51" s="545" t="s">
        <v>90</v>
      </c>
      <c r="P51" s="545"/>
      <c r="Q51" s="545"/>
      <c r="R51" s="545"/>
      <c r="S51" s="545"/>
      <c r="T51" s="480" t="s">
        <v>2140</v>
      </c>
      <c r="U51" s="480"/>
      <c r="V51" s="480"/>
      <c r="W51" s="480"/>
      <c r="X51" s="480"/>
      <c r="Y51" s="585"/>
      <c r="Z51" s="483"/>
      <c r="AA51" s="486"/>
      <c r="AB51" s="486"/>
      <c r="AC51" s="486"/>
      <c r="AD51" s="483"/>
    </row>
    <row r="52" spans="1:30" ht="36" customHeight="1">
      <c r="A52" s="482"/>
      <c r="B52" s="521">
        <v>35</v>
      </c>
      <c r="C52" s="480" t="s">
        <v>2033</v>
      </c>
      <c r="D52" s="555" t="s">
        <v>2033</v>
      </c>
      <c r="E52" s="480" t="s">
        <v>2033</v>
      </c>
      <c r="F52" s="480" t="s">
        <v>2033</v>
      </c>
      <c r="G52" s="480"/>
      <c r="H52" s="516"/>
      <c r="I52" s="588" t="str">
        <f t="shared" si="7"/>
        <v>4</v>
      </c>
      <c r="J52" s="588" t="str">
        <f t="shared" si="8"/>
        <v>Чистая прибыль, полученная от регулируемого вида деятельности, в том числе:</v>
      </c>
      <c r="K52" s="588" t="str">
        <f t="shared" si="9"/>
        <v>Указывается общая сумма чистой прибыли, полученной от регулируемого вида деятельности.</v>
      </c>
      <c r="L52" s="481" t="str">
        <f t="shared" si="10"/>
        <v>4</v>
      </c>
      <c r="M52" s="481" t="str">
        <f t="shared" si="11"/>
        <v>Чистая прибыль, полученная от регулируемого вида деятельности, в том числе:</v>
      </c>
      <c r="N52" s="481" t="str">
        <f t="shared" si="12"/>
        <v>Указывается общая сумма чистой прибыли, полученной от регулируемого вида деятельности.</v>
      </c>
      <c r="O52" s="545" t="s">
        <v>91</v>
      </c>
      <c r="P52" s="545" t="s">
        <v>90</v>
      </c>
      <c r="Q52" s="545" t="s">
        <v>90</v>
      </c>
      <c r="R52" s="545" t="s">
        <v>90</v>
      </c>
      <c r="S52" s="545"/>
      <c r="T52" s="480" t="s">
        <v>2141</v>
      </c>
      <c r="U52" s="480" t="s">
        <v>2142</v>
      </c>
      <c r="V52" s="480" t="s">
        <v>2143</v>
      </c>
      <c r="W52" s="480" t="s">
        <v>2144</v>
      </c>
      <c r="X52" s="480"/>
      <c r="Y52" s="585"/>
      <c r="Z52" s="483" t="s">
        <v>753</v>
      </c>
      <c r="AA52" s="486" t="s">
        <v>753</v>
      </c>
      <c r="AB52" s="486" t="s">
        <v>753</v>
      </c>
      <c r="AC52" s="486" t="s">
        <v>753</v>
      </c>
      <c r="AD52" s="483"/>
    </row>
    <row r="53" spans="1:30" ht="36" customHeight="1">
      <c r="A53" s="482"/>
      <c r="B53" s="521">
        <v>36</v>
      </c>
      <c r="C53" s="480">
        <v>1</v>
      </c>
      <c r="D53" s="555"/>
      <c r="E53" s="480"/>
      <c r="F53" s="480"/>
      <c r="G53" s="480"/>
      <c r="H53" s="516"/>
      <c r="I53" s="588" t="str">
        <f t="shared" si="7"/>
        <v>4.1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4.1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757</v>
      </c>
      <c r="P53" s="545" t="s">
        <v>328</v>
      </c>
      <c r="Q53" s="545" t="s">
        <v>328</v>
      </c>
      <c r="R53" s="545" t="s">
        <v>328</v>
      </c>
      <c r="S53" s="545"/>
      <c r="T53" s="480" t="s">
        <v>2145</v>
      </c>
      <c r="U53" s="480" t="s">
        <v>2145</v>
      </c>
      <c r="V53" s="480" t="s">
        <v>2145</v>
      </c>
      <c r="W53" s="480" t="s">
        <v>2145</v>
      </c>
      <c r="X53" s="480"/>
      <c r="Y53" s="585"/>
      <c r="Z53" s="483"/>
      <c r="AA53" s="486"/>
      <c r="AB53" s="483"/>
      <c r="AC53" s="483"/>
      <c r="AD53" s="483"/>
    </row>
    <row r="54" spans="1:30" ht="18" customHeight="1">
      <c r="A54" s="482"/>
      <c r="B54" s="521">
        <v>37</v>
      </c>
      <c r="C54" s="480" t="s">
        <v>2039</v>
      </c>
      <c r="D54" s="555" t="s">
        <v>2039</v>
      </c>
      <c r="E54" s="480" t="s">
        <v>2039</v>
      </c>
      <c r="F54" s="480" t="s">
        <v>2039</v>
      </c>
      <c r="G54" s="480"/>
      <c r="H54" s="516"/>
      <c r="I54" s="588" t="str">
        <f t="shared" si="7"/>
        <v>5</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5</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116</v>
      </c>
      <c r="P54" s="545" t="s">
        <v>91</v>
      </c>
      <c r="Q54" s="545" t="s">
        <v>91</v>
      </c>
      <c r="R54" s="545" t="s">
        <v>91</v>
      </c>
      <c r="S54" s="545"/>
      <c r="T54" s="480" t="s">
        <v>755</v>
      </c>
      <c r="U54" s="480" t="s">
        <v>755</v>
      </c>
      <c r="V54" s="480" t="s">
        <v>755</v>
      </c>
      <c r="W54" s="480" t="s">
        <v>755</v>
      </c>
      <c r="X54" s="480"/>
      <c r="Y54" s="585"/>
      <c r="Z54" s="483" t="s">
        <v>756</v>
      </c>
      <c r="AA54" s="483" t="s">
        <v>756</v>
      </c>
      <c r="AB54" s="483" t="s">
        <v>756</v>
      </c>
      <c r="AC54" s="483" t="s">
        <v>756</v>
      </c>
      <c r="AD54" s="483"/>
    </row>
    <row r="55" spans="1:30" ht="36" customHeight="1">
      <c r="A55" s="482"/>
      <c r="B55" s="521">
        <v>38</v>
      </c>
      <c r="C55" s="480">
        <v>1</v>
      </c>
      <c r="D55" s="555"/>
      <c r="E55" s="480"/>
      <c r="F55" s="480"/>
      <c r="G55" s="480"/>
      <c r="H55" s="516"/>
      <c r="I55" s="588" t="str">
        <f t="shared" si="7"/>
        <v>5.1</v>
      </c>
      <c r="J55" s="588" t="str">
        <f t="shared" si="8"/>
        <v>Изменение стоимости основных фондов за счет:</v>
      </c>
      <c r="K55" s="588" t="str">
        <f t="shared" si="9"/>
        <v>Указываются общее изменение стоимости основных фондов за счет их ввода в эксплуатацию и вывода из эксплуатации.</v>
      </c>
      <c r="L55" s="481" t="str">
        <f t="shared" si="10"/>
        <v>5.1</v>
      </c>
      <c r="M55" s="481" t="str">
        <f t="shared" si="11"/>
        <v>Изменение стоимости основных фондов за счет:</v>
      </c>
      <c r="N55" s="481" t="str">
        <f t="shared" si="12"/>
        <v>Указываются общее изменение стоимости основных фондов за счет их ввода в эксплуатацию и вывода из эксплуатации.</v>
      </c>
      <c r="O55" s="545" t="s">
        <v>317</v>
      </c>
      <c r="P55" s="545" t="s">
        <v>757</v>
      </c>
      <c r="Q55" s="545" t="s">
        <v>757</v>
      </c>
      <c r="R55" s="545" t="s">
        <v>757</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480" t="s">
        <v>2146</v>
      </c>
      <c r="V55" s="480" t="s">
        <v>2146</v>
      </c>
      <c r="W55" s="480" t="s">
        <v>2146</v>
      </c>
      <c r="X55" s="480"/>
      <c r="Y55" s="585"/>
      <c r="Z55" s="483" t="s">
        <v>2147</v>
      </c>
      <c r="AA55" s="483" t="s">
        <v>2147</v>
      </c>
      <c r="AB55" s="483" t="s">
        <v>2147</v>
      </c>
      <c r="AC55" s="483" t="s">
        <v>2147</v>
      </c>
      <c r="AD55" s="483"/>
    </row>
    <row r="56" spans="1:30" ht="27" customHeight="1">
      <c r="A56" s="482"/>
      <c r="B56" s="521">
        <v>39</v>
      </c>
      <c r="C56" s="480" t="s">
        <v>1026</v>
      </c>
      <c r="D56" s="555"/>
      <c r="E56" s="480"/>
      <c r="F56" s="480"/>
      <c r="G56" s="480"/>
      <c r="H56" s="516"/>
      <c r="I56" s="588" t="str">
        <f t="shared" si="7"/>
        <v>5.1.1</v>
      </c>
      <c r="J56" s="588" t="str">
        <f t="shared" si="8"/>
        <v>Изменения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5.1.1</v>
      </c>
      <c r="M56" s="481" t="str">
        <f t="shared" si="11"/>
        <v>Изменения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1144</v>
      </c>
      <c r="P56" s="545" t="s">
        <v>760</v>
      </c>
      <c r="Q56" s="545" t="s">
        <v>760</v>
      </c>
      <c r="R56" s="545" t="s">
        <v>760</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480" t="s">
        <v>2148</v>
      </c>
      <c r="V56" s="480" t="s">
        <v>2148</v>
      </c>
      <c r="W56" s="480" t="s">
        <v>2148</v>
      </c>
      <c r="X56" s="480"/>
      <c r="Y56" s="585"/>
      <c r="Z56" s="483" t="s">
        <v>762</v>
      </c>
      <c r="AA56" s="483" t="s">
        <v>762</v>
      </c>
      <c r="AB56" s="483" t="s">
        <v>762</v>
      </c>
      <c r="AC56" s="483" t="s">
        <v>762</v>
      </c>
      <c r="AD56" s="483"/>
    </row>
    <row r="57" spans="1:30" ht="27" customHeight="1">
      <c r="A57" s="482"/>
      <c r="B57" s="521">
        <v>40</v>
      </c>
      <c r="C57" s="480" t="s">
        <v>1028</v>
      </c>
      <c r="D57" s="555"/>
      <c r="E57" s="480"/>
      <c r="F57" s="480"/>
      <c r="G57" s="480"/>
      <c r="H57" s="516"/>
      <c r="I57" s="588" t="str">
        <f t="shared" si="7"/>
        <v>5.1.2</v>
      </c>
      <c r="J57" s="588" t="str">
        <f t="shared" si="8"/>
        <v>Изменения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5.1.2</v>
      </c>
      <c r="M57" s="481" t="str">
        <f t="shared" si="11"/>
        <v>Изменения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2149</v>
      </c>
      <c r="P57" s="545" t="s">
        <v>763</v>
      </c>
      <c r="Q57" s="545" t="s">
        <v>763</v>
      </c>
      <c r="R57" s="545" t="s">
        <v>763</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480" t="s">
        <v>2150</v>
      </c>
      <c r="V57" s="480" t="s">
        <v>2150</v>
      </c>
      <c r="W57" s="480" t="s">
        <v>2150</v>
      </c>
      <c r="X57" s="480"/>
      <c r="Y57" s="585"/>
      <c r="Z57" s="483" t="s">
        <v>765</v>
      </c>
      <c r="AA57" s="483" t="s">
        <v>765</v>
      </c>
      <c r="AB57" s="483" t="s">
        <v>765</v>
      </c>
      <c r="AC57" s="483" t="s">
        <v>765</v>
      </c>
      <c r="AD57" s="483"/>
    </row>
    <row r="58" spans="1:30" ht="18" customHeight="1">
      <c r="A58" s="482"/>
      <c r="B58" s="521">
        <v>41</v>
      </c>
      <c r="C58" s="480">
        <v>2</v>
      </c>
      <c r="D58" s="555"/>
      <c r="E58" s="480"/>
      <c r="F58" s="480"/>
      <c r="G58" s="480"/>
      <c r="H58" s="516"/>
      <c r="I58" s="588" t="str">
        <f t="shared" si="7"/>
        <v>5.2</v>
      </c>
      <c r="J58" s="588" t="str">
        <f t="shared" si="8"/>
        <v>Изменение стоимости основных фондов за счет их переоценки</v>
      </c>
      <c r="K58" s="588">
        <f t="shared" si="9"/>
        <v>0</v>
      </c>
      <c r="L58" s="481" t="str">
        <f t="shared" si="10"/>
        <v>5.2</v>
      </c>
      <c r="M58" s="481" t="str">
        <f t="shared" si="11"/>
        <v>Изменение стоимости основных фондов за счет их переоценки</v>
      </c>
      <c r="N58" s="481" t="str">
        <f t="shared" si="12"/>
        <v/>
      </c>
      <c r="O58" s="545" t="s">
        <v>885</v>
      </c>
      <c r="P58" s="545" t="s">
        <v>799</v>
      </c>
      <c r="Q58" s="545" t="s">
        <v>799</v>
      </c>
      <c r="R58" s="545" t="s">
        <v>799</v>
      </c>
      <c r="S58" s="545"/>
      <c r="T58" s="48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480" t="s">
        <v>2151</v>
      </c>
      <c r="V58" s="480" t="s">
        <v>2151</v>
      </c>
      <c r="W58" s="480" t="s">
        <v>2151</v>
      </c>
      <c r="X58" s="480"/>
      <c r="Y58" s="585"/>
      <c r="Z58" s="483"/>
      <c r="AA58" s="486"/>
      <c r="AB58" s="483"/>
      <c r="AC58" s="483"/>
      <c r="AD58" s="483"/>
    </row>
    <row r="59" spans="1:30" ht="36" customHeight="1">
      <c r="A59" s="482"/>
      <c r="B59" s="521">
        <v>42</v>
      </c>
      <c r="C59" s="480">
        <v>3</v>
      </c>
      <c r="D59" s="555" t="s">
        <v>2139</v>
      </c>
      <c r="E59" s="480" t="s">
        <v>2139</v>
      </c>
      <c r="F59" s="480" t="s">
        <v>2139</v>
      </c>
      <c r="G59" s="480"/>
      <c r="H59" s="516"/>
      <c r="I59" s="588">
        <f t="shared" si="7"/>
        <v>0</v>
      </c>
      <c r="J59" s="588">
        <f t="shared" si="8"/>
        <v>0</v>
      </c>
      <c r="K59" s="588">
        <f t="shared" si="9"/>
        <v>0</v>
      </c>
      <c r="L59" s="481" t="str">
        <f t="shared" si="10"/>
        <v/>
      </c>
      <c r="M59" s="481" t="str">
        <f t="shared" si="11"/>
        <v/>
      </c>
      <c r="N59" s="481" t="str">
        <f t="shared" si="12"/>
        <v/>
      </c>
      <c r="O59" s="545"/>
      <c r="P59" s="545" t="s">
        <v>116</v>
      </c>
      <c r="Q59" s="545" t="s">
        <v>116</v>
      </c>
      <c r="R59" s="545" t="s">
        <v>116</v>
      </c>
      <c r="S59" s="545"/>
      <c r="T59" s="480"/>
      <c r="U59" s="480" t="s">
        <v>2152</v>
      </c>
      <c r="V59" s="480" t="s">
        <v>2153</v>
      </c>
      <c r="W59" s="480" t="s">
        <v>2154</v>
      </c>
      <c r="X59" s="480"/>
      <c r="Y59" s="585"/>
      <c r="Z59" s="483"/>
      <c r="AA59" s="486"/>
      <c r="AB59" s="483"/>
      <c r="AC59" s="483"/>
      <c r="AD59" s="483"/>
    </row>
    <row r="60" spans="1:30" ht="81" customHeight="1">
      <c r="A60" s="482"/>
      <c r="B60" s="521">
        <v>43</v>
      </c>
      <c r="C60" s="480" t="s">
        <v>2155</v>
      </c>
      <c r="D60" s="555" t="s">
        <v>2155</v>
      </c>
      <c r="E60" s="480" t="s">
        <v>2155</v>
      </c>
      <c r="F60" s="480" t="s">
        <v>2155</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545" t="s">
        <v>92</v>
      </c>
      <c r="P60" s="545" t="s">
        <v>92</v>
      </c>
      <c r="Q60" s="545" t="s">
        <v>92</v>
      </c>
      <c r="R60" s="545" t="s">
        <v>92</v>
      </c>
      <c r="S60" s="545"/>
      <c r="T60" s="480" t="s">
        <v>633</v>
      </c>
      <c r="U60" s="480" t="s">
        <v>633</v>
      </c>
      <c r="V60" s="480" t="s">
        <v>633</v>
      </c>
      <c r="W60" s="480" t="s">
        <v>633</v>
      </c>
      <c r="X60" s="480"/>
      <c r="Y60" s="585"/>
      <c r="Z60" s="483" t="s">
        <v>2156</v>
      </c>
      <c r="AA60" s="486" t="s">
        <v>2157</v>
      </c>
      <c r="AB60" s="483" t="s">
        <v>2158</v>
      </c>
      <c r="AC60" s="483" t="s">
        <v>2157</v>
      </c>
      <c r="AD60" s="483"/>
    </row>
    <row r="61" spans="1:30" ht="9" customHeight="1">
      <c r="A61" s="482"/>
      <c r="B61" s="521">
        <v>44</v>
      </c>
      <c r="C61" s="480"/>
      <c r="D61" s="555" t="s">
        <v>2159</v>
      </c>
      <c r="E61" s="480"/>
      <c r="F61" s="480"/>
      <c r="G61" s="480"/>
      <c r="H61" s="516"/>
      <c r="I61" s="588">
        <f t="shared" si="7"/>
        <v>0</v>
      </c>
      <c r="J61" s="588">
        <f t="shared" si="8"/>
        <v>0</v>
      </c>
      <c r="K61" s="588">
        <f t="shared" si="9"/>
        <v>0</v>
      </c>
      <c r="L61" s="481" t="str">
        <f t="shared" si="10"/>
        <v/>
      </c>
      <c r="M61" s="481" t="str">
        <f t="shared" si="11"/>
        <v/>
      </c>
      <c r="N61" s="481" t="str">
        <f t="shared" si="12"/>
        <v/>
      </c>
      <c r="O61" s="545"/>
      <c r="P61" s="545" t="s">
        <v>93</v>
      </c>
      <c r="Q61" s="545"/>
      <c r="R61" s="545"/>
      <c r="S61" s="545"/>
      <c r="T61" s="480"/>
      <c r="U61" s="480" t="s">
        <v>2160</v>
      </c>
      <c r="V61" s="480"/>
      <c r="W61" s="480"/>
      <c r="X61" s="480"/>
      <c r="Y61" s="585"/>
      <c r="Z61" s="483"/>
      <c r="AA61" s="486"/>
      <c r="AB61" s="483"/>
      <c r="AC61" s="483"/>
      <c r="AD61" s="483"/>
    </row>
    <row r="62" spans="1:30" ht="9" customHeight="1">
      <c r="A62" s="482"/>
      <c r="B62" s="521">
        <v>45</v>
      </c>
      <c r="C62" s="480"/>
      <c r="D62" s="555" t="s">
        <v>2161</v>
      </c>
      <c r="E62" s="480"/>
      <c r="F62" s="480"/>
      <c r="G62" s="480"/>
      <c r="H62" s="516"/>
      <c r="I62" s="588">
        <f t="shared" si="7"/>
        <v>0</v>
      </c>
      <c r="J62" s="588">
        <f t="shared" si="8"/>
        <v>0</v>
      </c>
      <c r="K62" s="588">
        <f t="shared" si="9"/>
        <v>0</v>
      </c>
      <c r="L62" s="481" t="str">
        <f t="shared" si="10"/>
        <v/>
      </c>
      <c r="M62" s="481" t="str">
        <f t="shared" si="11"/>
        <v/>
      </c>
      <c r="N62" s="481" t="str">
        <f t="shared" si="12"/>
        <v/>
      </c>
      <c r="O62" s="545"/>
      <c r="P62" s="545" t="s">
        <v>117</v>
      </c>
      <c r="Q62" s="545"/>
      <c r="R62" s="545"/>
      <c r="S62" s="545"/>
      <c r="T62" s="480"/>
      <c r="U62" s="480" t="s">
        <v>2162</v>
      </c>
      <c r="V62" s="480"/>
      <c r="W62" s="480"/>
      <c r="X62" s="480"/>
      <c r="Y62" s="585"/>
      <c r="Z62" s="483"/>
      <c r="AA62" s="486"/>
      <c r="AB62" s="483"/>
      <c r="AC62" s="483"/>
      <c r="AD62" s="483"/>
    </row>
    <row r="63" spans="1:30" ht="18" customHeight="1">
      <c r="A63" s="482"/>
      <c r="B63" s="521">
        <v>46</v>
      </c>
      <c r="C63" s="480"/>
      <c r="D63" s="555" t="s">
        <v>2163</v>
      </c>
      <c r="E63" s="480"/>
      <c r="F63" s="480"/>
      <c r="G63" s="480"/>
      <c r="H63" s="516"/>
      <c r="I63" s="588">
        <f t="shared" si="7"/>
        <v>0</v>
      </c>
      <c r="J63" s="588">
        <f t="shared" si="8"/>
        <v>0</v>
      </c>
      <c r="K63" s="588">
        <f t="shared" si="9"/>
        <v>0</v>
      </c>
      <c r="L63" s="481" t="str">
        <f t="shared" si="10"/>
        <v/>
      </c>
      <c r="M63" s="481" t="str">
        <f t="shared" si="11"/>
        <v/>
      </c>
      <c r="N63" s="481" t="str">
        <f t="shared" si="12"/>
        <v/>
      </c>
      <c r="O63" s="545"/>
      <c r="P63" s="545" t="s">
        <v>154</v>
      </c>
      <c r="Q63" s="545"/>
      <c r="R63" s="545"/>
      <c r="S63" s="545"/>
      <c r="T63" s="480"/>
      <c r="U63" s="480" t="s">
        <v>2164</v>
      </c>
      <c r="V63" s="480"/>
      <c r="W63" s="480"/>
      <c r="X63" s="480"/>
      <c r="Y63" s="585"/>
      <c r="Z63" s="483"/>
      <c r="AA63" s="486"/>
      <c r="AB63" s="483"/>
      <c r="AC63" s="483"/>
      <c r="AD63" s="483"/>
    </row>
    <row r="64" spans="1:30" ht="18" customHeight="1">
      <c r="A64" s="482"/>
      <c r="B64" s="521">
        <v>47</v>
      </c>
      <c r="C64" s="480"/>
      <c r="D64" s="555" t="s">
        <v>2165</v>
      </c>
      <c r="E64" s="480"/>
      <c r="F64" s="480"/>
      <c r="G64" s="480"/>
      <c r="H64" s="516"/>
      <c r="I64" s="588">
        <f t="shared" si="7"/>
        <v>0</v>
      </c>
      <c r="J64" s="588">
        <f t="shared" si="8"/>
        <v>0</v>
      </c>
      <c r="K64" s="588">
        <f t="shared" si="9"/>
        <v>0</v>
      </c>
      <c r="L64" s="481" t="str">
        <f t="shared" si="10"/>
        <v/>
      </c>
      <c r="M64" s="481" t="str">
        <f t="shared" si="11"/>
        <v/>
      </c>
      <c r="N64" s="481" t="str">
        <f t="shared" si="12"/>
        <v/>
      </c>
      <c r="O64" s="545"/>
      <c r="P64" s="545" t="s">
        <v>155</v>
      </c>
      <c r="Q64" s="545"/>
      <c r="R64" s="545"/>
      <c r="S64" s="545"/>
      <c r="T64" s="480"/>
      <c r="U64" s="480" t="s">
        <v>2166</v>
      </c>
      <c r="V64" s="480"/>
      <c r="W64" s="480"/>
      <c r="X64" s="480"/>
      <c r="Y64" s="585"/>
      <c r="Z64" s="483"/>
      <c r="AA64" s="486" t="s">
        <v>2167</v>
      </c>
      <c r="AB64" s="483"/>
      <c r="AC64" s="483"/>
      <c r="AD64" s="483"/>
    </row>
    <row r="65" spans="1:30" ht="18" customHeight="1">
      <c r="A65" s="482"/>
      <c r="B65" s="521">
        <v>48</v>
      </c>
      <c r="C65" s="480"/>
      <c r="D65" s="555"/>
      <c r="E65" s="480"/>
      <c r="F65" s="480"/>
      <c r="G65" s="480"/>
      <c r="H65" s="516"/>
      <c r="I65" s="588">
        <f t="shared" si="7"/>
        <v>0</v>
      </c>
      <c r="J65" s="588">
        <f t="shared" si="8"/>
        <v>0</v>
      </c>
      <c r="K65" s="588">
        <f t="shared" si="9"/>
        <v>0</v>
      </c>
      <c r="L65" s="481" t="str">
        <f t="shared" si="10"/>
        <v/>
      </c>
      <c r="M65" s="481" t="str">
        <f t="shared" si="11"/>
        <v/>
      </c>
      <c r="N65" s="481" t="str">
        <f t="shared" si="12"/>
        <v/>
      </c>
      <c r="O65" s="545"/>
      <c r="P65" s="545" t="s">
        <v>2080</v>
      </c>
      <c r="Q65" s="545"/>
      <c r="R65" s="545"/>
      <c r="S65" s="545"/>
      <c r="T65" s="480"/>
      <c r="U65" s="480" t="s">
        <v>2168</v>
      </c>
      <c r="V65" s="480"/>
      <c r="W65" s="480"/>
      <c r="X65" s="480"/>
      <c r="Y65" s="585"/>
      <c r="Z65" s="483"/>
      <c r="AA65" s="486"/>
      <c r="AB65" s="483"/>
      <c r="AC65" s="483"/>
      <c r="AD65" s="483"/>
    </row>
    <row r="66" spans="1:30" ht="18" customHeight="1">
      <c r="A66" s="482"/>
      <c r="B66" s="521">
        <v>49</v>
      </c>
      <c r="C66" s="480"/>
      <c r="D66" s="555"/>
      <c r="E66" s="480"/>
      <c r="F66" s="480"/>
      <c r="G66" s="480"/>
      <c r="H66" s="516"/>
      <c r="I66" s="588">
        <f t="shared" si="7"/>
        <v>0</v>
      </c>
      <c r="J66" s="588">
        <f t="shared" si="8"/>
        <v>0</v>
      </c>
      <c r="K66" s="588">
        <f t="shared" si="9"/>
        <v>0</v>
      </c>
      <c r="L66" s="481" t="str">
        <f t="shared" si="10"/>
        <v/>
      </c>
      <c r="M66" s="481" t="str">
        <f t="shared" si="11"/>
        <v/>
      </c>
      <c r="N66" s="481" t="str">
        <f t="shared" si="12"/>
        <v/>
      </c>
      <c r="O66" s="545"/>
      <c r="P66" s="545" t="s">
        <v>2084</v>
      </c>
      <c r="Q66" s="545"/>
      <c r="R66" s="545"/>
      <c r="S66" s="545"/>
      <c r="T66" s="480"/>
      <c r="U66" s="480" t="s">
        <v>2169</v>
      </c>
      <c r="V66" s="480"/>
      <c r="W66" s="480"/>
      <c r="X66" s="480"/>
      <c r="Y66" s="585"/>
      <c r="Z66" s="483"/>
      <c r="AA66" s="486"/>
      <c r="AB66" s="483"/>
      <c r="AC66" s="483"/>
      <c r="AD66" s="483"/>
    </row>
    <row r="67" spans="1:30" ht="27" customHeight="1">
      <c r="A67" s="482"/>
      <c r="B67" s="521">
        <v>50</v>
      </c>
      <c r="C67" s="480"/>
      <c r="D67" s="555"/>
      <c r="E67" s="480"/>
      <c r="F67" s="480"/>
      <c r="G67" s="480"/>
      <c r="H67" s="516"/>
      <c r="I67" s="588">
        <f t="shared" si="7"/>
        <v>0</v>
      </c>
      <c r="J67" s="588">
        <f t="shared" si="8"/>
        <v>0</v>
      </c>
      <c r="K67" s="588">
        <f t="shared" si="9"/>
        <v>0</v>
      </c>
      <c r="L67" s="481" t="str">
        <f t="shared" si="10"/>
        <v/>
      </c>
      <c r="M67" s="481" t="str">
        <f t="shared" si="11"/>
        <v/>
      </c>
      <c r="N67" s="481" t="str">
        <f t="shared" si="12"/>
        <v/>
      </c>
      <c r="O67" s="545"/>
      <c r="P67" s="545" t="s">
        <v>2170</v>
      </c>
      <c r="Q67" s="545"/>
      <c r="R67" s="545"/>
      <c r="S67" s="545"/>
      <c r="T67" s="480"/>
      <c r="U67" s="480" t="s">
        <v>2171</v>
      </c>
      <c r="V67" s="480"/>
      <c r="W67" s="480"/>
      <c r="X67" s="480"/>
      <c r="Y67" s="585"/>
      <c r="Z67" s="483"/>
      <c r="AA67" s="486"/>
      <c r="AB67" s="483"/>
      <c r="AC67" s="483"/>
      <c r="AD67" s="483"/>
    </row>
    <row r="68" spans="1:30" ht="27" customHeight="1">
      <c r="A68" s="482"/>
      <c r="B68" s="521">
        <v>51</v>
      </c>
      <c r="C68" s="480"/>
      <c r="D68" s="555"/>
      <c r="E68" s="480"/>
      <c r="F68" s="480"/>
      <c r="G68" s="480"/>
      <c r="H68" s="516"/>
      <c r="I68" s="588">
        <f t="shared" si="7"/>
        <v>0</v>
      </c>
      <c r="J68" s="588">
        <f t="shared" si="8"/>
        <v>0</v>
      </c>
      <c r="K68" s="588">
        <f t="shared" si="9"/>
        <v>0</v>
      </c>
      <c r="L68" s="481" t="str">
        <f t="shared" si="10"/>
        <v/>
      </c>
      <c r="M68" s="481" t="str">
        <f t="shared" si="11"/>
        <v/>
      </c>
      <c r="N68" s="481" t="str">
        <f t="shared" si="12"/>
        <v/>
      </c>
      <c r="O68" s="545"/>
      <c r="P68" s="545" t="s">
        <v>2172</v>
      </c>
      <c r="Q68" s="545"/>
      <c r="R68" s="545"/>
      <c r="S68" s="545"/>
      <c r="T68" s="480"/>
      <c r="U68" s="480" t="s">
        <v>2173</v>
      </c>
      <c r="V68" s="480"/>
      <c r="W68" s="480"/>
      <c r="X68" s="480"/>
      <c r="Y68" s="585"/>
      <c r="Z68" s="483"/>
      <c r="AA68" s="486"/>
      <c r="AB68" s="483"/>
      <c r="AC68" s="483"/>
      <c r="AD68" s="483"/>
    </row>
    <row r="69" spans="1:30" ht="9" customHeight="1">
      <c r="A69" s="482"/>
      <c r="B69" s="521">
        <v>52</v>
      </c>
      <c r="C69" s="480"/>
      <c r="D69" s="555" t="s">
        <v>2174</v>
      </c>
      <c r="E69" s="480"/>
      <c r="F69" s="480"/>
      <c r="G69" s="480"/>
      <c r="H69" s="516"/>
      <c r="I69" s="588">
        <f t="shared" si="7"/>
        <v>0</v>
      </c>
      <c r="J69" s="588">
        <f t="shared" si="8"/>
        <v>0</v>
      </c>
      <c r="K69" s="588">
        <f t="shared" si="9"/>
        <v>0</v>
      </c>
      <c r="L69" s="481" t="str">
        <f t="shared" si="10"/>
        <v/>
      </c>
      <c r="M69" s="481" t="str">
        <f t="shared" si="11"/>
        <v/>
      </c>
      <c r="N69" s="481" t="str">
        <f t="shared" si="12"/>
        <v/>
      </c>
      <c r="O69" s="545"/>
      <c r="P69" s="545" t="s">
        <v>156</v>
      </c>
      <c r="Q69" s="545"/>
      <c r="R69" s="545"/>
      <c r="S69" s="545"/>
      <c r="T69" s="480"/>
      <c r="U69" s="480" t="s">
        <v>2175</v>
      </c>
      <c r="V69" s="480"/>
      <c r="W69" s="480"/>
      <c r="X69" s="480"/>
      <c r="Y69" s="585"/>
      <c r="Z69" s="483"/>
      <c r="AA69" s="486"/>
      <c r="AB69" s="483"/>
      <c r="AC69" s="483"/>
      <c r="AD69" s="483"/>
    </row>
    <row r="70" spans="1:30" ht="27" customHeight="1">
      <c r="A70" s="482"/>
      <c r="B70" s="521">
        <v>53</v>
      </c>
      <c r="C70" s="480"/>
      <c r="D70" s="555"/>
      <c r="E70" s="480" t="s">
        <v>2159</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93</v>
      </c>
      <c r="R70" s="545"/>
      <c r="S70" s="545"/>
      <c r="T70" s="480"/>
      <c r="U70" s="480"/>
      <c r="V70" s="480" t="s">
        <v>2176</v>
      </c>
      <c r="W70" s="480"/>
      <c r="X70" s="480"/>
      <c r="Y70" s="585"/>
      <c r="Z70" s="483"/>
      <c r="AA70" s="486"/>
      <c r="AB70" s="483"/>
      <c r="AC70" s="483"/>
      <c r="AD70" s="483"/>
    </row>
    <row r="71" spans="1:30" ht="36" customHeight="1">
      <c r="A71" s="482"/>
      <c r="B71" s="521">
        <v>54</v>
      </c>
      <c r="C71" s="480"/>
      <c r="D71" s="555"/>
      <c r="E71" s="480" t="s">
        <v>2161</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117</v>
      </c>
      <c r="R71" s="545"/>
      <c r="S71" s="545"/>
      <c r="T71" s="480"/>
      <c r="U71" s="480"/>
      <c r="V71" s="480" t="s">
        <v>2177</v>
      </c>
      <c r="W71" s="480"/>
      <c r="X71" s="480"/>
      <c r="Y71" s="585"/>
      <c r="Z71" s="483"/>
      <c r="AA71" s="486"/>
      <c r="AB71" s="483"/>
      <c r="AC71" s="483"/>
      <c r="AD71" s="483"/>
    </row>
    <row r="72" spans="1:30" ht="27" customHeight="1">
      <c r="A72" s="482"/>
      <c r="B72" s="521">
        <v>55</v>
      </c>
      <c r="C72" s="480"/>
      <c r="D72" s="555"/>
      <c r="E72" s="480" t="s">
        <v>2163</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154</v>
      </c>
      <c r="R72" s="545"/>
      <c r="S72" s="545"/>
      <c r="T72" s="480"/>
      <c r="U72" s="480"/>
      <c r="V72" s="480" t="s">
        <v>2178</v>
      </c>
      <c r="W72" s="480"/>
      <c r="X72" s="480"/>
      <c r="Y72" s="585"/>
      <c r="Z72" s="483"/>
      <c r="AA72" s="486"/>
      <c r="AB72" s="483"/>
      <c r="AC72" s="483"/>
      <c r="AD72" s="483"/>
    </row>
    <row r="73" spans="1:30" ht="36" customHeight="1">
      <c r="A73" s="482"/>
      <c r="B73" s="521">
        <v>56</v>
      </c>
      <c r="C73" s="480"/>
      <c r="D73" s="555"/>
      <c r="E73" s="480" t="s">
        <v>2165</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155</v>
      </c>
      <c r="R73" s="545"/>
      <c r="S73" s="545"/>
      <c r="T73" s="480"/>
      <c r="U73" s="480"/>
      <c r="V73" s="480" t="s">
        <v>2179</v>
      </c>
      <c r="W73" s="480"/>
      <c r="X73" s="480"/>
      <c r="Y73" s="585"/>
      <c r="Z73" s="483"/>
      <c r="AA73" s="486"/>
      <c r="AB73" s="483"/>
      <c r="AC73" s="483"/>
      <c r="AD73" s="483"/>
    </row>
    <row r="74" spans="1:30" ht="18" customHeight="1">
      <c r="A74" s="482"/>
      <c r="B74" s="521">
        <v>57</v>
      </c>
      <c r="C74" s="480"/>
      <c r="D74" s="555"/>
      <c r="E74" s="480" t="s">
        <v>2174</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156</v>
      </c>
      <c r="R74" s="545"/>
      <c r="S74" s="545"/>
      <c r="T74" s="480"/>
      <c r="U74" s="480"/>
      <c r="V74" s="480" t="s">
        <v>2180</v>
      </c>
      <c r="W74" s="480"/>
      <c r="X74" s="480"/>
      <c r="Y74" s="585"/>
      <c r="Z74" s="483"/>
      <c r="AA74" s="486"/>
      <c r="AB74" s="483"/>
      <c r="AC74" s="483"/>
      <c r="AD74" s="483"/>
    </row>
    <row r="75" spans="1:30" ht="18" customHeight="1">
      <c r="A75" s="482"/>
      <c r="B75" s="521">
        <v>58</v>
      </c>
      <c r="C75" s="480"/>
      <c r="D75" s="555"/>
      <c r="E75" s="480"/>
      <c r="F75" s="480" t="s">
        <v>2159</v>
      </c>
      <c r="G75" s="480"/>
      <c r="H75" s="516"/>
      <c r="I75" s="588">
        <f t="shared" si="7"/>
        <v>0</v>
      </c>
      <c r="J75" s="588">
        <f t="shared" si="8"/>
        <v>0</v>
      </c>
      <c r="K75" s="588">
        <f t="shared" si="9"/>
        <v>0</v>
      </c>
      <c r="L75" s="481" t="str">
        <f t="shared" si="10"/>
        <v/>
      </c>
      <c r="M75" s="481" t="str">
        <f t="shared" si="11"/>
        <v/>
      </c>
      <c r="N75" s="481" t="str">
        <f t="shared" si="12"/>
        <v/>
      </c>
      <c r="O75" s="545"/>
      <c r="P75" s="545"/>
      <c r="Q75" s="545"/>
      <c r="R75" s="545" t="s">
        <v>93</v>
      </c>
      <c r="S75" s="545"/>
      <c r="T75" s="480"/>
      <c r="U75" s="480"/>
      <c r="V75" s="480"/>
      <c r="W75" s="480" t="s">
        <v>2181</v>
      </c>
      <c r="X75" s="480"/>
      <c r="Y75" s="585"/>
      <c r="Z75" s="483"/>
      <c r="AA75" s="486"/>
      <c r="AB75" s="483"/>
      <c r="AC75" s="483"/>
      <c r="AD75" s="483"/>
    </row>
    <row r="76" spans="1:30" ht="36" customHeight="1">
      <c r="A76" s="482"/>
      <c r="B76" s="521">
        <v>59</v>
      </c>
      <c r="C76" s="480"/>
      <c r="D76" s="555"/>
      <c r="E76" s="480"/>
      <c r="F76" s="480" t="s">
        <v>2161</v>
      </c>
      <c r="G76" s="480"/>
      <c r="H76" s="516"/>
      <c r="I76" s="588">
        <f t="shared" si="7"/>
        <v>0</v>
      </c>
      <c r="J76" s="588">
        <f t="shared" si="8"/>
        <v>0</v>
      </c>
      <c r="K76" s="588">
        <f t="shared" si="9"/>
        <v>0</v>
      </c>
      <c r="L76" s="481" t="str">
        <f t="shared" si="10"/>
        <v/>
      </c>
      <c r="M76" s="481" t="str">
        <f t="shared" si="11"/>
        <v/>
      </c>
      <c r="N76" s="481" t="str">
        <f t="shared" si="12"/>
        <v/>
      </c>
      <c r="O76" s="545"/>
      <c r="P76" s="545"/>
      <c r="Q76" s="545"/>
      <c r="R76" s="545" t="s">
        <v>117</v>
      </c>
      <c r="S76" s="545"/>
      <c r="T76" s="480"/>
      <c r="U76" s="480"/>
      <c r="V76" s="480"/>
      <c r="W76" s="480" t="s">
        <v>2182</v>
      </c>
      <c r="X76" s="480"/>
      <c r="Y76" s="585"/>
      <c r="Z76" s="483"/>
      <c r="AA76" s="486"/>
      <c r="AB76" s="483"/>
      <c r="AC76" s="483"/>
      <c r="AD76" s="483"/>
    </row>
    <row r="77" spans="1:30" ht="18" customHeight="1">
      <c r="A77" s="482"/>
      <c r="B77" s="521">
        <v>60</v>
      </c>
      <c r="C77" s="480"/>
      <c r="D77" s="555"/>
      <c r="E77" s="480"/>
      <c r="F77" s="480" t="s">
        <v>2163</v>
      </c>
      <c r="G77" s="480"/>
      <c r="H77" s="516"/>
      <c r="I77" s="588">
        <f t="shared" si="7"/>
        <v>0</v>
      </c>
      <c r="J77" s="588">
        <f t="shared" si="8"/>
        <v>0</v>
      </c>
      <c r="K77" s="588">
        <f t="shared" si="9"/>
        <v>0</v>
      </c>
      <c r="L77" s="481" t="str">
        <f t="shared" si="10"/>
        <v/>
      </c>
      <c r="M77" s="481" t="str">
        <f t="shared" si="11"/>
        <v/>
      </c>
      <c r="N77" s="481" t="str">
        <f t="shared" si="12"/>
        <v/>
      </c>
      <c r="O77" s="545"/>
      <c r="P77" s="545"/>
      <c r="Q77" s="545"/>
      <c r="R77" s="545" t="s">
        <v>154</v>
      </c>
      <c r="S77" s="545"/>
      <c r="T77" s="480"/>
      <c r="U77" s="480"/>
      <c r="V77" s="480"/>
      <c r="W77" s="480" t="s">
        <v>2183</v>
      </c>
      <c r="X77" s="480"/>
      <c r="Y77" s="585"/>
      <c r="Z77" s="483"/>
      <c r="AA77" s="486"/>
      <c r="AB77" s="483"/>
      <c r="AC77" s="483"/>
      <c r="AD77" s="483"/>
    </row>
    <row r="78" spans="1:30" ht="72" customHeight="1">
      <c r="A78" s="482"/>
      <c r="B78" s="521">
        <v>61</v>
      </c>
      <c r="C78" s="480" t="s">
        <v>2159</v>
      </c>
      <c r="D78" s="555"/>
      <c r="E78" s="480"/>
      <c r="F78" s="480"/>
      <c r="G78" s="480"/>
      <c r="H78" s="516"/>
      <c r="I78" s="588" t="str">
        <f t="shared" si="7"/>
        <v>7</v>
      </c>
      <c r="J78" s="58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58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481" t="str">
        <f t="shared" si="10"/>
        <v>7</v>
      </c>
      <c r="M78" s="48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48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545" t="s">
        <v>93</v>
      </c>
      <c r="P78" s="545"/>
      <c r="Q78" s="545"/>
      <c r="R78" s="545"/>
      <c r="S78" s="545"/>
      <c r="T78" s="480" t="s">
        <v>638</v>
      </c>
      <c r="U78" s="480"/>
      <c r="V78" s="480"/>
      <c r="W78" s="480"/>
      <c r="X78" s="480"/>
      <c r="Y78" s="585"/>
      <c r="Z78" s="483" t="s">
        <v>2184</v>
      </c>
      <c r="AA78" s="486"/>
      <c r="AB78" s="483"/>
      <c r="AC78" s="483"/>
      <c r="AD78" s="483"/>
    </row>
    <row r="79" spans="1:30" ht="36" customHeight="1">
      <c r="A79" s="482"/>
      <c r="B79" s="521">
        <v>62</v>
      </c>
      <c r="C79" s="480" t="s">
        <v>2161</v>
      </c>
      <c r="D79" s="555"/>
      <c r="E79" s="480"/>
      <c r="F79" s="480"/>
      <c r="G79" s="480"/>
      <c r="H79" s="516"/>
      <c r="I79" s="588" t="str">
        <f t="shared" si="7"/>
        <v>8</v>
      </c>
      <c r="J79" s="588" t="str">
        <f t="shared" si="8"/>
        <v>Тепловая нагрузка по договорам, заключенным в рамках осуществления регулируемых видов деятельности</v>
      </c>
      <c r="K79" s="58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481" t="str">
        <f t="shared" si="10"/>
        <v>8</v>
      </c>
      <c r="M79" s="481" t="str">
        <f t="shared" si="11"/>
        <v>Тепловая нагрузка по договорам, заключенным в рамках осуществления регулируемых видов деятельности</v>
      </c>
      <c r="N79" s="48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545" t="s">
        <v>117</v>
      </c>
      <c r="P79" s="545"/>
      <c r="Q79" s="545"/>
      <c r="R79" s="545"/>
      <c r="S79" s="545"/>
      <c r="T79" s="480" t="s">
        <v>2185</v>
      </c>
      <c r="U79" s="480"/>
      <c r="V79" s="480"/>
      <c r="W79" s="480"/>
      <c r="X79" s="480"/>
      <c r="Y79" s="585"/>
      <c r="Z79" s="483" t="s">
        <v>2186</v>
      </c>
      <c r="AA79" s="486"/>
      <c r="AB79" s="483"/>
      <c r="AC79" s="483"/>
      <c r="AD79" s="483"/>
    </row>
    <row r="80" spans="1:30" ht="45" customHeight="1">
      <c r="A80" s="482"/>
      <c r="B80" s="521">
        <v>63</v>
      </c>
      <c r="C80" s="480" t="s">
        <v>2163</v>
      </c>
      <c r="D80" s="555"/>
      <c r="E80" s="480"/>
      <c r="F80" s="480"/>
      <c r="G80" s="480"/>
      <c r="H80" s="516"/>
      <c r="I80" s="588" t="str">
        <f t="shared" si="7"/>
        <v>9</v>
      </c>
      <c r="J80" s="588" t="str">
        <f t="shared" si="8"/>
        <v>Объем вырабатываемой регулируемой организацией тепловой энергии в рамках осуществления регулируемых видов деятельности</v>
      </c>
      <c r="K80" s="58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481" t="str">
        <f t="shared" si="10"/>
        <v>9</v>
      </c>
      <c r="M80" s="481" t="str">
        <f t="shared" si="11"/>
        <v>Объем вырабатываемой регулируемой организацией тепловой энергии в рамках осуществления регулируемых видов деятельности</v>
      </c>
      <c r="N80" s="48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545" t="s">
        <v>154</v>
      </c>
      <c r="P80" s="545"/>
      <c r="Q80" s="545"/>
      <c r="R80" s="545"/>
      <c r="S80" s="545"/>
      <c r="T80" s="480" t="s">
        <v>2187</v>
      </c>
      <c r="U80" s="480"/>
      <c r="V80" s="480"/>
      <c r="W80" s="480"/>
      <c r="X80" s="480"/>
      <c r="Y80" s="585"/>
      <c r="Z80" s="483" t="s">
        <v>2188</v>
      </c>
      <c r="AA80" s="486"/>
      <c r="AB80" s="483"/>
      <c r="AC80" s="483"/>
      <c r="AD80" s="483"/>
    </row>
    <row r="81" spans="1:30" ht="36" customHeight="1">
      <c r="A81" s="482"/>
      <c r="B81" s="521">
        <v>64</v>
      </c>
      <c r="C81" s="480" t="s">
        <v>2165</v>
      </c>
      <c r="D81" s="555"/>
      <c r="E81" s="480"/>
      <c r="F81" s="480"/>
      <c r="G81" s="480"/>
      <c r="H81" s="516"/>
      <c r="I81" s="588" t="str">
        <f t="shared" si="7"/>
        <v>9.1</v>
      </c>
      <c r="J81" s="588" t="str">
        <f t="shared" si="8"/>
        <v>Объем приобретаемой регулируемой организацией тепловой энергии в рамках осуществления регулируемых видов деятельности</v>
      </c>
      <c r="K81" s="588" t="str">
        <f t="shared" si="9"/>
        <v>Информация указывается только едиными теплоснабжающими организациями.</v>
      </c>
      <c r="L81" s="481" t="str">
        <f t="shared" si="10"/>
        <v>9.1</v>
      </c>
      <c r="M81" s="481" t="str">
        <f t="shared" si="11"/>
        <v>Объем приобретаемой регулируемой организацией тепловой энергии в рамках осуществления регулируемых видов деятельности</v>
      </c>
      <c r="N81" s="481" t="str">
        <f t="shared" si="12"/>
        <v>Информация указывается только едиными теплоснабжающими организациями.</v>
      </c>
      <c r="O81" s="545" t="s">
        <v>2071</v>
      </c>
      <c r="P81" s="545"/>
      <c r="Q81" s="545"/>
      <c r="R81" s="545"/>
      <c r="S81" s="545"/>
      <c r="T81" s="480" t="s">
        <v>2189</v>
      </c>
      <c r="U81" s="480"/>
      <c r="V81" s="480"/>
      <c r="W81" s="480"/>
      <c r="X81" s="480"/>
      <c r="Y81" s="585"/>
      <c r="Z81" s="483" t="s">
        <v>2190</v>
      </c>
      <c r="AA81" s="486"/>
      <c r="AB81" s="483"/>
      <c r="AC81" s="483"/>
      <c r="AD81" s="483"/>
    </row>
    <row r="82" spans="1:30" ht="90" customHeight="1">
      <c r="A82" s="482"/>
      <c r="B82" s="521">
        <v>65</v>
      </c>
      <c r="C82" s="480" t="s">
        <v>2174</v>
      </c>
      <c r="D82" s="555"/>
      <c r="E82" s="480"/>
      <c r="F82" s="480"/>
      <c r="G82" s="480"/>
      <c r="H82" s="516"/>
      <c r="I82" s="588" t="str">
        <f t="shared" ref="I82:I101" si="13">INDEX(TEMPLATE_NUMBER_POINT_FHD,B82,MATCH(TEMPLATE_SPHERE,TEMPLATE_SPHERE_LIST_FOR_NOTE,0))</f>
        <v>10</v>
      </c>
      <c r="J82" s="58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58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481" t="str">
        <f t="shared" ref="L82:L101" si="16">IF(I82=0,"",I82)</f>
        <v>10</v>
      </c>
      <c r="M82" s="48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48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545" t="s">
        <v>155</v>
      </c>
      <c r="P82" s="545"/>
      <c r="Q82" s="545"/>
      <c r="R82" s="545"/>
      <c r="S82" s="545"/>
      <c r="T82" s="480" t="s">
        <v>2191</v>
      </c>
      <c r="U82" s="480"/>
      <c r="V82" s="480"/>
      <c r="W82" s="480"/>
      <c r="X82" s="480"/>
      <c r="Y82" s="585"/>
      <c r="Z82" s="483" t="s">
        <v>2192</v>
      </c>
      <c r="AA82" s="486"/>
      <c r="AB82" s="483"/>
      <c r="AC82" s="483"/>
      <c r="AD82" s="483"/>
    </row>
    <row r="83" spans="1:30" ht="9" customHeight="1">
      <c r="A83" s="482"/>
      <c r="B83" s="521">
        <v>66</v>
      </c>
      <c r="C83" s="480"/>
      <c r="D83" s="555"/>
      <c r="E83" s="480"/>
      <c r="F83" s="480"/>
      <c r="G83" s="480"/>
      <c r="H83" s="516"/>
      <c r="I83" s="588" t="str">
        <f t="shared" si="13"/>
        <v>10.1</v>
      </c>
      <c r="J83" s="588" t="str">
        <f t="shared" si="14"/>
        <v xml:space="preserve">По приборам учёта </v>
      </c>
      <c r="K83" s="588">
        <f t="shared" si="15"/>
        <v>0</v>
      </c>
      <c r="L83" s="481" t="str">
        <f t="shared" si="16"/>
        <v>10.1</v>
      </c>
      <c r="M83" s="481" t="str">
        <f t="shared" si="17"/>
        <v xml:space="preserve">По приборам учёта </v>
      </c>
      <c r="N83" s="481" t="str">
        <f t="shared" si="18"/>
        <v/>
      </c>
      <c r="O83" s="545" t="s">
        <v>2080</v>
      </c>
      <c r="P83" s="545"/>
      <c r="Q83" s="545"/>
      <c r="R83" s="545"/>
      <c r="S83" s="545"/>
      <c r="T83" s="480" t="s">
        <v>2193</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t="str">
        <f t="shared" si="13"/>
        <v>10.1.1</v>
      </c>
      <c r="J84" s="58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588">
        <f t="shared" si="15"/>
        <v>0</v>
      </c>
      <c r="L84" s="481" t="str">
        <f t="shared" si="16"/>
        <v>10.1.1</v>
      </c>
      <c r="M84" s="48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481" t="str">
        <f t="shared" si="18"/>
        <v/>
      </c>
      <c r="O84" s="545" t="s">
        <v>2194</v>
      </c>
      <c r="P84" s="545"/>
      <c r="Q84" s="545"/>
      <c r="R84" s="545"/>
      <c r="S84" s="545"/>
      <c r="T84" s="480" t="s">
        <v>2195</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t="str">
        <f t="shared" si="13"/>
        <v>10.2</v>
      </c>
      <c r="J85" s="588" t="str">
        <f t="shared" si="14"/>
        <v>Расчётным путём</v>
      </c>
      <c r="K85" s="588">
        <f t="shared" si="15"/>
        <v>0</v>
      </c>
      <c r="L85" s="481" t="str">
        <f t="shared" si="16"/>
        <v>10.2</v>
      </c>
      <c r="M85" s="481" t="str">
        <f t="shared" si="17"/>
        <v>Расчётным путём</v>
      </c>
      <c r="N85" s="481" t="str">
        <f t="shared" si="18"/>
        <v/>
      </c>
      <c r="O85" s="545" t="s">
        <v>2084</v>
      </c>
      <c r="P85" s="545"/>
      <c r="Q85" s="545"/>
      <c r="R85" s="545"/>
      <c r="S85" s="545"/>
      <c r="T85" s="480" t="s">
        <v>2196</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t="str">
        <f t="shared" si="13"/>
        <v>10.3</v>
      </c>
      <c r="J86" s="588" t="str">
        <f t="shared" si="14"/>
        <v>По нормативам потребления коммунальных услуг и нормативам потребления коммунальных ресурсов</v>
      </c>
      <c r="K86" s="588">
        <f t="shared" si="15"/>
        <v>0</v>
      </c>
      <c r="L86" s="481" t="str">
        <f t="shared" si="16"/>
        <v>10.3</v>
      </c>
      <c r="M86" s="481" t="str">
        <f t="shared" si="17"/>
        <v>По нормативам потребления коммунальных услуг и нормативам потребления коммунальных ресурсов</v>
      </c>
      <c r="N86" s="481" t="str">
        <f t="shared" si="18"/>
        <v/>
      </c>
      <c r="O86" s="545" t="s">
        <v>2197</v>
      </c>
      <c r="P86" s="545"/>
      <c r="Q86" s="545"/>
      <c r="R86" s="545"/>
      <c r="S86" s="545"/>
      <c r="T86" s="480" t="s">
        <v>2198</v>
      </c>
      <c r="U86" s="480"/>
      <c r="V86" s="480"/>
      <c r="W86" s="480"/>
      <c r="X86" s="480"/>
      <c r="Y86" s="585"/>
      <c r="Z86" s="483"/>
      <c r="AA86" s="486"/>
      <c r="AB86" s="483"/>
      <c r="AC86" s="483"/>
      <c r="AD86" s="483"/>
    </row>
    <row r="87" spans="1:30" ht="36" customHeight="1">
      <c r="A87" s="482"/>
      <c r="B87" s="521">
        <v>70</v>
      </c>
      <c r="C87" s="480" t="s">
        <v>2199</v>
      </c>
      <c r="D87" s="555"/>
      <c r="E87" s="480"/>
      <c r="F87" s="480"/>
      <c r="G87" s="480"/>
      <c r="H87" s="516"/>
      <c r="I87" s="588" t="str">
        <f t="shared" si="13"/>
        <v>11</v>
      </c>
      <c r="J87" s="58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588">
        <f t="shared" si="15"/>
        <v>0</v>
      </c>
      <c r="L87" s="481" t="str">
        <f t="shared" si="16"/>
        <v>11</v>
      </c>
      <c r="M87" s="48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481" t="str">
        <f t="shared" si="18"/>
        <v/>
      </c>
      <c r="O87" s="545" t="s">
        <v>156</v>
      </c>
      <c r="P87" s="545"/>
      <c r="Q87" s="545"/>
      <c r="R87" s="545"/>
      <c r="S87" s="545"/>
      <c r="T87" s="480" t="s">
        <v>2200</v>
      </c>
      <c r="U87" s="480"/>
      <c r="V87" s="480"/>
      <c r="W87" s="480"/>
      <c r="X87" s="480"/>
      <c r="Y87" s="585"/>
      <c r="Z87" s="483"/>
      <c r="AA87" s="486"/>
      <c r="AB87" s="483"/>
      <c r="AC87" s="483"/>
      <c r="AD87" s="483"/>
    </row>
    <row r="88" spans="1:30" ht="18" customHeight="1">
      <c r="A88" s="482"/>
      <c r="B88" s="521">
        <v>71</v>
      </c>
      <c r="C88" s="480" t="s">
        <v>2201</v>
      </c>
      <c r="D88" s="555"/>
      <c r="E88" s="480"/>
      <c r="F88" s="480"/>
      <c r="G88" s="480"/>
      <c r="H88" s="516"/>
      <c r="I88" s="588" t="str">
        <f t="shared" si="13"/>
        <v>12</v>
      </c>
      <c r="J88" s="588" t="str">
        <f t="shared" si="14"/>
        <v>Фактический объем потерь при передаче тепловой энергии</v>
      </c>
      <c r="K88" s="588">
        <f t="shared" si="15"/>
        <v>0</v>
      </c>
      <c r="L88" s="481" t="str">
        <f t="shared" si="16"/>
        <v>12</v>
      </c>
      <c r="M88" s="481" t="str">
        <f t="shared" si="17"/>
        <v>Фактический объем потерь при передаче тепловой энергии</v>
      </c>
      <c r="N88" s="481" t="str">
        <f t="shared" si="18"/>
        <v/>
      </c>
      <c r="O88" s="545" t="s">
        <v>157</v>
      </c>
      <c r="P88" s="545"/>
      <c r="Q88" s="545"/>
      <c r="R88" s="545"/>
      <c r="S88" s="545"/>
      <c r="T88" s="480" t="s">
        <v>670</v>
      </c>
      <c r="U88" s="480"/>
      <c r="V88" s="480"/>
      <c r="W88" s="480"/>
      <c r="X88" s="480"/>
      <c r="Y88" s="585"/>
      <c r="Z88" s="483"/>
      <c r="AA88" s="486"/>
      <c r="AB88" s="483"/>
      <c r="AC88" s="483"/>
      <c r="AD88" s="483"/>
    </row>
    <row r="89" spans="1:30" ht="18" customHeight="1">
      <c r="A89" s="482"/>
      <c r="B89" s="521">
        <v>72</v>
      </c>
      <c r="C89" s="480" t="s">
        <v>2202</v>
      </c>
      <c r="D89" s="555" t="s">
        <v>2199</v>
      </c>
      <c r="E89" s="480" t="s">
        <v>2199</v>
      </c>
      <c r="F89" s="480" t="s">
        <v>2165</v>
      </c>
      <c r="G89" s="480"/>
      <c r="H89" s="516"/>
      <c r="I89" s="588" t="str">
        <f t="shared" si="13"/>
        <v>13</v>
      </c>
      <c r="J89" s="588" t="str">
        <f t="shared" si="14"/>
        <v>Среднесписочная численность основного производственного персонала</v>
      </c>
      <c r="K89" s="588">
        <f t="shared" si="15"/>
        <v>0</v>
      </c>
      <c r="L89" s="481" t="str">
        <f t="shared" si="16"/>
        <v>13</v>
      </c>
      <c r="M89" s="481" t="str">
        <f t="shared" si="17"/>
        <v>Среднесписочная численность основного производственного персонала</v>
      </c>
      <c r="N89" s="481" t="str">
        <f t="shared" si="18"/>
        <v/>
      </c>
      <c r="O89" s="545" t="s">
        <v>158</v>
      </c>
      <c r="P89" s="545" t="s">
        <v>157</v>
      </c>
      <c r="Q89" s="545" t="s">
        <v>157</v>
      </c>
      <c r="R89" s="545" t="s">
        <v>155</v>
      </c>
      <c r="S89" s="545"/>
      <c r="T89" s="480" t="s">
        <v>678</v>
      </c>
      <c r="U89" s="480" t="s">
        <v>678</v>
      </c>
      <c r="V89" s="480" t="s">
        <v>678</v>
      </c>
      <c r="W89" s="480" t="s">
        <v>678</v>
      </c>
      <c r="X89" s="480"/>
      <c r="Y89" s="585"/>
      <c r="Z89" s="483"/>
      <c r="AA89" s="486"/>
      <c r="AB89" s="483"/>
      <c r="AC89" s="483"/>
      <c r="AD89" s="483"/>
    </row>
    <row r="90" spans="1:30" ht="27" customHeight="1">
      <c r="A90" s="482"/>
      <c r="B90" s="521">
        <v>73</v>
      </c>
      <c r="C90" s="480" t="s">
        <v>2203</v>
      </c>
      <c r="D90" s="555"/>
      <c r="E90" s="480"/>
      <c r="F90" s="480"/>
      <c r="G90" s="480"/>
      <c r="H90" s="516"/>
      <c r="I90" s="588" t="str">
        <f t="shared" si="13"/>
        <v>14</v>
      </c>
      <c r="J90" s="588" t="str">
        <f t="shared" si="14"/>
        <v>Среднесписочная численность административно-управленческого персонала</v>
      </c>
      <c r="K90" s="588">
        <f t="shared" si="15"/>
        <v>0</v>
      </c>
      <c r="L90" s="481" t="str">
        <f t="shared" si="16"/>
        <v>14</v>
      </c>
      <c r="M90" s="481" t="str">
        <f t="shared" si="17"/>
        <v>Среднесписочная численность административно-управленческого персонала</v>
      </c>
      <c r="N90" s="481" t="str">
        <f t="shared" si="18"/>
        <v/>
      </c>
      <c r="O90" s="545" t="s">
        <v>159</v>
      </c>
      <c r="P90" s="545"/>
      <c r="Q90" s="545"/>
      <c r="R90" s="545"/>
      <c r="S90" s="545"/>
      <c r="T90" s="480" t="s">
        <v>680</v>
      </c>
      <c r="U90" s="480"/>
      <c r="V90" s="480"/>
      <c r="W90" s="480"/>
      <c r="X90" s="480"/>
      <c r="Y90" s="585"/>
      <c r="Z90" s="483"/>
      <c r="AA90" s="486"/>
      <c r="AB90" s="483"/>
      <c r="AC90" s="483"/>
      <c r="AD90" s="483"/>
    </row>
    <row r="91" spans="1:30" ht="18" customHeight="1">
      <c r="A91" s="482"/>
      <c r="B91" s="521">
        <v>74</v>
      </c>
      <c r="C91" s="480"/>
      <c r="D91" s="555" t="s">
        <v>2201</v>
      </c>
      <c r="E91" s="480" t="s">
        <v>2201</v>
      </c>
      <c r="F91" s="480"/>
      <c r="G91" s="480"/>
      <c r="H91" s="516"/>
      <c r="I91" s="588">
        <f t="shared" si="13"/>
        <v>0</v>
      </c>
      <c r="J91" s="588">
        <f t="shared" si="14"/>
        <v>0</v>
      </c>
      <c r="K91" s="588">
        <f t="shared" si="15"/>
        <v>0</v>
      </c>
      <c r="L91" s="481" t="str">
        <f t="shared" si="16"/>
        <v/>
      </c>
      <c r="M91" s="481" t="str">
        <f t="shared" si="17"/>
        <v/>
      </c>
      <c r="N91" s="481" t="str">
        <f t="shared" si="18"/>
        <v/>
      </c>
      <c r="O91" s="545"/>
      <c r="P91" s="545" t="s">
        <v>158</v>
      </c>
      <c r="Q91" s="545" t="s">
        <v>158</v>
      </c>
      <c r="R91" s="545"/>
      <c r="S91" s="545"/>
      <c r="T91" s="480"/>
      <c r="U91" s="480" t="s">
        <v>2204</v>
      </c>
      <c r="V91" s="480" t="s">
        <v>2204</v>
      </c>
      <c r="W91" s="480"/>
      <c r="X91" s="480"/>
      <c r="Y91" s="585"/>
      <c r="Z91" s="483"/>
      <c r="AA91" s="486"/>
      <c r="AB91" s="483"/>
      <c r="AC91" s="483"/>
      <c r="AD91" s="483"/>
    </row>
    <row r="92" spans="1:30" ht="27" customHeight="1">
      <c r="A92" s="482"/>
      <c r="B92" s="521">
        <v>75</v>
      </c>
      <c r="C92" s="480"/>
      <c r="D92" s="555" t="s">
        <v>2202</v>
      </c>
      <c r="E92" s="480"/>
      <c r="F92" s="480"/>
      <c r="G92" s="480"/>
      <c r="H92" s="516"/>
      <c r="I92" s="588">
        <f t="shared" si="13"/>
        <v>0</v>
      </c>
      <c r="J92" s="588">
        <f t="shared" si="14"/>
        <v>0</v>
      </c>
      <c r="K92" s="588">
        <f t="shared" si="15"/>
        <v>0</v>
      </c>
      <c r="L92" s="481" t="str">
        <f t="shared" si="16"/>
        <v/>
      </c>
      <c r="M92" s="481" t="str">
        <f t="shared" si="17"/>
        <v/>
      </c>
      <c r="N92" s="481" t="str">
        <f t="shared" si="18"/>
        <v/>
      </c>
      <c r="O92" s="545"/>
      <c r="P92" s="545" t="s">
        <v>159</v>
      </c>
      <c r="Q92" s="545"/>
      <c r="R92" s="545"/>
      <c r="S92" s="545"/>
      <c r="T92" s="480"/>
      <c r="U92" s="480" t="s">
        <v>2205</v>
      </c>
      <c r="V92" s="480"/>
      <c r="W92" s="480"/>
      <c r="X92" s="480"/>
      <c r="Y92" s="585"/>
      <c r="Z92" s="483"/>
      <c r="AA92" s="486" t="s">
        <v>2206</v>
      </c>
      <c r="AB92" s="483"/>
      <c r="AC92" s="483"/>
      <c r="AD92" s="483"/>
    </row>
    <row r="93" spans="1:30" ht="27" customHeight="1">
      <c r="A93" s="482"/>
      <c r="B93" s="521">
        <v>76</v>
      </c>
      <c r="C93" s="480"/>
      <c r="D93" s="555"/>
      <c r="E93" s="480"/>
      <c r="F93" s="480"/>
      <c r="G93" s="480"/>
      <c r="H93" s="516"/>
      <c r="I93" s="588">
        <f t="shared" si="13"/>
        <v>0</v>
      </c>
      <c r="J93" s="588">
        <f t="shared" si="14"/>
        <v>0</v>
      </c>
      <c r="K93" s="588">
        <f t="shared" si="15"/>
        <v>0</v>
      </c>
      <c r="L93" s="481" t="str">
        <f t="shared" si="16"/>
        <v/>
      </c>
      <c r="M93" s="481" t="str">
        <f t="shared" si="17"/>
        <v/>
      </c>
      <c r="N93" s="481" t="str">
        <f t="shared" si="18"/>
        <v/>
      </c>
      <c r="O93" s="545"/>
      <c r="P93" s="545" t="s">
        <v>2112</v>
      </c>
      <c r="Q93" s="545"/>
      <c r="R93" s="545"/>
      <c r="S93" s="545"/>
      <c r="T93" s="480"/>
      <c r="U93" s="480" t="s">
        <v>2207</v>
      </c>
      <c r="V93" s="480"/>
      <c r="W93" s="480"/>
      <c r="X93" s="480"/>
      <c r="Y93" s="585"/>
      <c r="Z93" s="483"/>
      <c r="AA93" s="486" t="s">
        <v>2208</v>
      </c>
      <c r="AB93" s="483"/>
      <c r="AC93" s="483"/>
      <c r="AD93" s="483"/>
    </row>
    <row r="94" spans="1:30" ht="45" customHeight="1">
      <c r="A94" s="482"/>
      <c r="B94" s="521">
        <v>77</v>
      </c>
      <c r="C94" s="480"/>
      <c r="D94" s="555" t="s">
        <v>2203</v>
      </c>
      <c r="E94" s="480"/>
      <c r="F94" s="480"/>
      <c r="G94" s="480"/>
      <c r="H94" s="516"/>
      <c r="I94" s="588">
        <f t="shared" si="13"/>
        <v>0</v>
      </c>
      <c r="J94" s="588">
        <f t="shared" si="14"/>
        <v>0</v>
      </c>
      <c r="K94" s="588">
        <f t="shared" si="15"/>
        <v>0</v>
      </c>
      <c r="L94" s="481" t="str">
        <f t="shared" si="16"/>
        <v/>
      </c>
      <c r="M94" s="481" t="str">
        <f t="shared" si="17"/>
        <v/>
      </c>
      <c r="N94" s="481" t="str">
        <f t="shared" si="18"/>
        <v/>
      </c>
      <c r="O94" s="545"/>
      <c r="P94" s="545" t="s">
        <v>1466</v>
      </c>
      <c r="Q94" s="545"/>
      <c r="R94" s="545"/>
      <c r="S94" s="545"/>
      <c r="T94" s="480"/>
      <c r="U94" s="480" t="s">
        <v>2209</v>
      </c>
      <c r="V94" s="480"/>
      <c r="W94" s="480"/>
      <c r="X94" s="480"/>
      <c r="Y94" s="585"/>
      <c r="Z94" s="483"/>
      <c r="AA94" s="486" t="s">
        <v>2210</v>
      </c>
      <c r="AB94" s="483"/>
      <c r="AC94" s="483"/>
      <c r="AD94" s="483"/>
    </row>
    <row r="95" spans="1:30" ht="99" customHeight="1">
      <c r="A95" s="482"/>
      <c r="B95" s="521">
        <v>78</v>
      </c>
      <c r="C95" s="480" t="s">
        <v>2211</v>
      </c>
      <c r="D95" s="555"/>
      <c r="E95" s="480"/>
      <c r="F95" s="480"/>
      <c r="G95" s="480"/>
      <c r="H95" s="516"/>
      <c r="I95" s="588" t="str">
        <f t="shared" si="13"/>
        <v>15</v>
      </c>
      <c r="J95" s="58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588">
        <f t="shared" si="15"/>
        <v>0</v>
      </c>
      <c r="L95" s="481" t="str">
        <f t="shared" si="16"/>
        <v>15</v>
      </c>
      <c r="M95" s="48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481" t="str">
        <f t="shared" si="18"/>
        <v/>
      </c>
      <c r="O95" s="545" t="s">
        <v>1466</v>
      </c>
      <c r="P95" s="545"/>
      <c r="Q95" s="545"/>
      <c r="R95" s="545"/>
      <c r="S95" s="545"/>
      <c r="T95" s="480" t="s">
        <v>2212</v>
      </c>
      <c r="U95" s="480"/>
      <c r="V95" s="480"/>
      <c r="W95" s="480"/>
      <c r="X95" s="480"/>
      <c r="Y95" s="585"/>
      <c r="Z95" s="483"/>
      <c r="AA95" s="486"/>
      <c r="AB95" s="483"/>
      <c r="AC95" s="483"/>
      <c r="AD95" s="483"/>
    </row>
    <row r="96" spans="1:30" ht="99" customHeight="1">
      <c r="A96" s="482"/>
      <c r="B96" s="521">
        <v>79</v>
      </c>
      <c r="C96" s="480" t="s">
        <v>1153</v>
      </c>
      <c r="D96" s="555"/>
      <c r="E96" s="480"/>
      <c r="F96" s="480"/>
      <c r="G96" s="480"/>
      <c r="H96" s="516"/>
      <c r="I96" s="588" t="str">
        <f t="shared" si="13"/>
        <v>16</v>
      </c>
      <c r="J96" s="58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58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481" t="str">
        <f t="shared" si="16"/>
        <v>16</v>
      </c>
      <c r="M96" s="48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48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545" t="s">
        <v>1472</v>
      </c>
      <c r="P96" s="545"/>
      <c r="Q96" s="545"/>
      <c r="R96" s="545"/>
      <c r="S96" s="545"/>
      <c r="T96" s="480" t="s">
        <v>2213</v>
      </c>
      <c r="U96" s="480"/>
      <c r="V96" s="480"/>
      <c r="W96" s="480"/>
      <c r="X96" s="480"/>
      <c r="Y96" s="585"/>
      <c r="Z96" s="483" t="s">
        <v>2214</v>
      </c>
      <c r="AA96" s="486"/>
      <c r="AB96" s="483"/>
      <c r="AC96" s="483"/>
      <c r="AD96" s="483"/>
    </row>
    <row r="97" spans="1:30" ht="63" customHeight="1">
      <c r="A97" s="482"/>
      <c r="B97" s="521">
        <v>80</v>
      </c>
      <c r="C97" s="480" t="s">
        <v>2215</v>
      </c>
      <c r="D97" s="555"/>
      <c r="E97" s="480"/>
      <c r="F97" s="480"/>
      <c r="G97" s="480"/>
      <c r="H97" s="516"/>
      <c r="I97" s="588" t="str">
        <f t="shared" si="13"/>
        <v>17</v>
      </c>
      <c r="J97" s="58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588" t="str">
        <f t="shared" si="15"/>
        <v>Регулируемыми организациями указывается информация с по договорам, заключенным в рамках осуществления регулируемой деятельности.</v>
      </c>
      <c r="L97" s="481" t="str">
        <f t="shared" si="16"/>
        <v>17</v>
      </c>
      <c r="M97" s="48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481" t="str">
        <f t="shared" si="18"/>
        <v>Регулируемыми организациями указывается информация с по договорам, заключенным в рамках осуществления регулируемой деятельности.</v>
      </c>
      <c r="O97" s="545" t="s">
        <v>1484</v>
      </c>
      <c r="P97" s="545"/>
      <c r="Q97" s="545"/>
      <c r="R97" s="545"/>
      <c r="S97" s="545"/>
      <c r="T97" s="480" t="s">
        <v>2216</v>
      </c>
      <c r="U97" s="480"/>
      <c r="V97" s="480"/>
      <c r="W97" s="480"/>
      <c r="X97" s="480"/>
      <c r="Y97" s="585"/>
      <c r="Z97" s="483" t="s">
        <v>2217</v>
      </c>
      <c r="AA97" s="486"/>
      <c r="AB97" s="483"/>
      <c r="AC97" s="483"/>
      <c r="AD97" s="483"/>
    </row>
    <row r="98" spans="1:30" ht="63" customHeight="1">
      <c r="A98" s="482"/>
      <c r="B98" s="521">
        <v>81</v>
      </c>
      <c r="C98" s="480" t="s">
        <v>2218</v>
      </c>
      <c r="D98" s="555"/>
      <c r="E98" s="480"/>
      <c r="F98" s="480"/>
      <c r="G98" s="480"/>
      <c r="H98" s="516"/>
      <c r="I98" s="588" t="str">
        <f t="shared" si="13"/>
        <v>18</v>
      </c>
      <c r="J98" s="58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588" t="str">
        <f t="shared" si="15"/>
        <v>Регулируемыми организациями указывается информация с по договорам, заключенным в рамках осуществления регулируемой деятельности.</v>
      </c>
      <c r="L98" s="481" t="str">
        <f t="shared" si="16"/>
        <v>18</v>
      </c>
      <c r="M98" s="48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481" t="str">
        <f t="shared" si="18"/>
        <v>Регулируемыми организациями указывается информация с по договорам, заключенным в рамках осуществления регулируемой деятельности.</v>
      </c>
      <c r="O98" s="545" t="s">
        <v>1498</v>
      </c>
      <c r="P98" s="545"/>
      <c r="Q98" s="545"/>
      <c r="R98" s="545"/>
      <c r="S98" s="545"/>
      <c r="T98" s="480" t="s">
        <v>2219</v>
      </c>
      <c r="U98" s="480"/>
      <c r="V98" s="480"/>
      <c r="W98" s="480"/>
      <c r="X98" s="480"/>
      <c r="Y98" s="585"/>
      <c r="Z98" s="483" t="s">
        <v>2217</v>
      </c>
      <c r="AA98" s="486"/>
      <c r="AB98" s="483"/>
      <c r="AC98" s="483"/>
      <c r="AD98" s="483"/>
    </row>
    <row r="99" spans="1:30" ht="90" customHeight="1">
      <c r="A99" s="482"/>
      <c r="B99" s="521">
        <v>82</v>
      </c>
      <c r="C99" s="480" t="s">
        <v>2220</v>
      </c>
      <c r="D99" s="555"/>
      <c r="E99" s="480"/>
      <c r="F99" s="480"/>
      <c r="G99" s="480"/>
      <c r="H99" s="516"/>
      <c r="I99" s="588" t="str">
        <f t="shared" si="13"/>
        <v>19</v>
      </c>
      <c r="J99" s="58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588" t="str">
        <f t="shared" si="15"/>
        <v>Указывается ссылка на документ, предварительно загруженный в хранилище файлов ФГИС ЕИАС.</v>
      </c>
      <c r="L99" s="481" t="str">
        <f t="shared" si="16"/>
        <v>19</v>
      </c>
      <c r="M99" s="48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481" t="str">
        <f t="shared" si="18"/>
        <v>Указывается ссылка на документ, предварительно загруженный в хранилище файлов ФГИС ЕИАС.</v>
      </c>
      <c r="O99" s="545" t="s">
        <v>1510</v>
      </c>
      <c r="P99" s="545"/>
      <c r="Q99" s="545"/>
      <c r="R99" s="545"/>
      <c r="S99" s="545"/>
      <c r="T99" s="480" t="s">
        <v>2221</v>
      </c>
      <c r="U99" s="480"/>
      <c r="V99" s="480"/>
      <c r="W99" s="480"/>
      <c r="X99" s="480"/>
      <c r="Y99" s="585"/>
      <c r="Z99" s="483" t="s">
        <v>635</v>
      </c>
      <c r="AA99" s="486"/>
      <c r="AB99" s="483"/>
      <c r="AC99" s="483"/>
      <c r="AD99" s="483"/>
    </row>
    <row r="100" spans="1:30" ht="27" customHeight="1">
      <c r="A100" s="482"/>
      <c r="B100" s="521">
        <v>83</v>
      </c>
      <c r="C100" s="480"/>
      <c r="D100" s="555"/>
      <c r="E100" s="480"/>
      <c r="F100" s="480"/>
      <c r="G100" s="480"/>
      <c r="H100" s="516"/>
      <c r="I100" s="588" t="str">
        <f t="shared" si="13"/>
        <v>19.1</v>
      </c>
      <c r="J100" s="588" t="str">
        <f t="shared" si="14"/>
        <v>Информация о показателях физического износа объектов теплоснабжения</v>
      </c>
      <c r="K100" s="588" t="str">
        <f t="shared" si="15"/>
        <v>Указывается ссылка на документ, предварительно загруженный в хранилище файлов ФГИС ЕИАС.</v>
      </c>
      <c r="L100" s="481" t="str">
        <f t="shared" si="16"/>
        <v>19.1</v>
      </c>
      <c r="M100" s="481" t="str">
        <f t="shared" si="17"/>
        <v>Информация о показателях физического износа объектов теплоснабжения</v>
      </c>
      <c r="N100" s="481" t="str">
        <f t="shared" si="18"/>
        <v>Указывается ссылка на документ, предварительно загруженный в хранилище файлов ФГИС ЕИАС.</v>
      </c>
      <c r="O100" s="545" t="s">
        <v>2222</v>
      </c>
      <c r="P100" s="545"/>
      <c r="Q100" s="545"/>
      <c r="R100" s="545"/>
      <c r="S100" s="545"/>
      <c r="T100" s="480" t="s">
        <v>2223</v>
      </c>
      <c r="U100" s="480"/>
      <c r="V100" s="480"/>
      <c r="W100" s="480"/>
      <c r="X100" s="480"/>
      <c r="Y100" s="585"/>
      <c r="Z100" s="483" t="s">
        <v>635</v>
      </c>
      <c r="AA100" s="486"/>
      <c r="AB100" s="483"/>
      <c r="AC100" s="483"/>
      <c r="AD100" s="483"/>
    </row>
    <row r="101" spans="1:30" ht="27" customHeight="1">
      <c r="A101" s="482"/>
      <c r="B101" s="521">
        <v>84</v>
      </c>
      <c r="C101" s="480"/>
      <c r="D101" s="555"/>
      <c r="E101" s="480"/>
      <c r="F101" s="480"/>
      <c r="G101" s="480"/>
      <c r="H101" s="516"/>
      <c r="I101" s="588" t="str">
        <f t="shared" si="13"/>
        <v>19.2</v>
      </c>
      <c r="J101" s="588" t="str">
        <f t="shared" si="14"/>
        <v>Информация о показателях энергетической эффективности объектов теплоснабжения</v>
      </c>
      <c r="K101" s="588" t="str">
        <f t="shared" si="15"/>
        <v>Указывается ссылка на документ, предварительно загруженный в хранилище файлов ФГИС ЕИАС.</v>
      </c>
      <c r="L101" s="481" t="str">
        <f t="shared" si="16"/>
        <v>19.2</v>
      </c>
      <c r="M101" s="481" t="str">
        <f t="shared" si="17"/>
        <v>Информация о показателях энергетической эффективности объектов теплоснабжения</v>
      </c>
      <c r="N101" s="481" t="str">
        <f t="shared" si="18"/>
        <v>Указывается ссылка на документ, предварительно загруженный в хранилище файлов ФГИС ЕИАС.</v>
      </c>
      <c r="O101" s="545" t="s">
        <v>2224</v>
      </c>
      <c r="P101" s="545"/>
      <c r="Q101" s="545"/>
      <c r="R101" s="545"/>
      <c r="S101" s="545"/>
      <c r="T101" s="480" t="s">
        <v>2225</v>
      </c>
      <c r="U101" s="480"/>
      <c r="V101" s="480"/>
      <c r="W101" s="480"/>
      <c r="X101" s="480"/>
      <c r="Y101" s="585"/>
      <c r="Z101" s="483" t="s">
        <v>635</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1664</v>
      </c>
      <c r="B148" s="482"/>
      <c r="C148" s="480" t="s">
        <v>2226</v>
      </c>
      <c r="D148" s="480" t="s">
        <v>1566</v>
      </c>
      <c r="E148" s="480" t="s">
        <v>1666</v>
      </c>
      <c r="F148" s="480" t="s">
        <v>2227</v>
      </c>
      <c r="G148" s="480"/>
      <c r="H148" s="480"/>
      <c r="I148" s="551"/>
      <c r="J148" s="551"/>
      <c r="K148" s="551"/>
      <c r="L148" s="551"/>
      <c r="M148" s="5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485"/>
      <c r="O148" s="480"/>
      <c r="P148" s="481"/>
      <c r="Q148" s="481"/>
      <c r="R148" s="481"/>
      <c r="S148" s="480"/>
      <c r="T148" s="480" t="s">
        <v>2228</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481"/>
      <c r="W148" s="481"/>
      <c r="X148" s="480" t="s">
        <v>2229</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1668</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1671</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1676</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12B49-D0DF-8F73-DA28-1B479080F64E}">
  <sheetPr>
    <tabColor theme="6" tint="0.39997558519241921"/>
  </sheetPr>
  <dimension ref="A1:AD41"/>
  <sheetViews>
    <sheetView showGridLines="0" topLeftCell="I4"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2.28515625" style="63" hidden="1" customWidth="1"/>
    <col min="6" max="8" width="12.285156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8"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9"/>
      <c r="M4" s="10"/>
      <c r="N4" s="10"/>
      <c r="AD4" s="11">
        <v>14</v>
      </c>
    </row>
    <row r="5" spans="1:30" ht="67.150000000000006" customHeight="1">
      <c r="J5" s="28"/>
      <c r="K5" s="28"/>
      <c r="L5" s="1554" t="s">
        <v>2230</v>
      </c>
      <c r="M5" s="1554"/>
      <c r="N5" s="1554"/>
      <c r="O5" s="1554"/>
      <c r="P5" s="1554"/>
      <c r="Q5" s="1554"/>
      <c r="R5" s="1554"/>
      <c r="S5" s="1554"/>
      <c r="T5" s="1554"/>
      <c r="U5" s="1554"/>
      <c r="V5" s="59"/>
      <c r="AD5" s="11">
        <v>64</v>
      </c>
    </row>
    <row r="6" spans="1:30" ht="14.65" customHeight="1">
      <c r="J6" s="28"/>
      <c r="K6" s="28"/>
      <c r="L6" s="1555" t="str">
        <f>IF(org=0,"Не определено",org)</f>
        <v>ООО "Инженерные сети"</v>
      </c>
      <c r="M6" s="1555"/>
      <c r="N6" s="1555"/>
      <c r="O6" s="1555"/>
      <c r="P6" s="1555"/>
      <c r="Q6" s="1555"/>
      <c r="R6" s="1555"/>
      <c r="S6" s="1555"/>
      <c r="T6" s="1555"/>
      <c r="U6" s="1555"/>
      <c r="V6" s="59"/>
      <c r="AD6" s="11">
        <v>14</v>
      </c>
    </row>
    <row r="7" spans="1:30" ht="14.65" customHeight="1">
      <c r="J7" s="28"/>
      <c r="K7" s="28"/>
      <c r="L7" s="739"/>
      <c r="M7" s="10"/>
      <c r="N7" s="10"/>
      <c r="O7" s="189"/>
      <c r="P7" s="189"/>
      <c r="Q7" s="189"/>
      <c r="R7" s="189"/>
      <c r="S7" s="189"/>
      <c r="T7" s="189"/>
      <c r="U7" s="189"/>
      <c r="V7" s="189"/>
      <c r="AD7" s="11">
        <v>14</v>
      </c>
    </row>
    <row r="8" spans="1:30" s="35" customFormat="1" ht="48.2" customHeight="1">
      <c r="A8" s="82"/>
      <c r="B8" s="82"/>
      <c r="C8" s="82"/>
      <c r="D8" s="82"/>
      <c r="E8" s="82"/>
      <c r="F8" s="82"/>
      <c r="G8" s="82"/>
      <c r="H8" s="82"/>
      <c r="L8" s="740"/>
      <c r="M8" s="170" t="s">
        <v>42</v>
      </c>
      <c r="N8" s="175"/>
      <c r="O8" s="1268" t="str">
        <f>IF(TITLE_NAME_OR_PR_CHANGE="",IF(TITLE_NAME_OR_PR="","",TITLE_NAME_OR_PR),TITLE_NAME_OR_PR_CHANGE)</f>
        <v/>
      </c>
      <c r="P8" s="1268"/>
      <c r="Q8" s="1268"/>
      <c r="R8" s="1268"/>
      <c r="S8" s="1268"/>
      <c r="T8" s="1268"/>
      <c r="U8" s="1268"/>
      <c r="V8" s="11"/>
      <c r="W8" s="11"/>
      <c r="X8" s="163"/>
      <c r="Y8" s="69"/>
      <c r="Z8" s="69"/>
      <c r="AA8" s="69"/>
      <c r="AB8" s="69"/>
      <c r="AC8" s="69"/>
      <c r="AD8" s="35">
        <v>46</v>
      </c>
    </row>
    <row r="9" spans="1:30" s="35" customFormat="1" ht="24" customHeight="1">
      <c r="A9" s="82"/>
      <c r="B9" s="82"/>
      <c r="C9" s="82"/>
      <c r="D9" s="82"/>
      <c r="E9" s="82"/>
      <c r="F9" s="82"/>
      <c r="G9" s="82"/>
      <c r="H9" s="82"/>
      <c r="L9" s="740"/>
      <c r="M9" s="170" t="s">
        <v>427</v>
      </c>
      <c r="N9" s="175"/>
      <c r="O9" s="1268" t="str">
        <f>IF(TITLE_DATE_CHANGE_PERIOD="",IF(TITLE_DATE_PR="","",TITLE_DATE_PR),TITLE_DATE_CHANGE_PERIOD)</f>
        <v/>
      </c>
      <c r="P9" s="1268"/>
      <c r="Q9" s="1268"/>
      <c r="R9" s="1268"/>
      <c r="S9" s="1268"/>
      <c r="T9" s="1268"/>
      <c r="U9" s="1268"/>
      <c r="V9" s="11"/>
      <c r="W9" s="11"/>
      <c r="X9" s="163"/>
      <c r="Y9" s="69"/>
      <c r="Z9" s="69"/>
      <c r="AA9" s="69"/>
      <c r="AB9" s="69"/>
      <c r="AC9" s="69"/>
      <c r="AD9" s="35">
        <v>23</v>
      </c>
    </row>
    <row r="10" spans="1:30" s="35" customFormat="1" ht="24" customHeight="1">
      <c r="A10" s="82"/>
      <c r="B10" s="82"/>
      <c r="C10" s="82"/>
      <c r="D10" s="82"/>
      <c r="E10" s="82"/>
      <c r="F10" s="82"/>
      <c r="G10" s="82"/>
      <c r="H10" s="82"/>
      <c r="L10" s="342"/>
      <c r="M10" s="170" t="s">
        <v>428</v>
      </c>
      <c r="N10" s="175"/>
      <c r="O10" s="1268" t="str">
        <f>IF(TITLE_NUMBER_PR_CHANGE="",IF(TITLE_NUMBER_PR="","",TITLE_NUMBER_PR),TITLE_NUMBER_PR_CHANGE)</f>
        <v/>
      </c>
      <c r="P10" s="1268"/>
      <c r="Q10" s="1268"/>
      <c r="R10" s="1268"/>
      <c r="S10" s="1268"/>
      <c r="T10" s="1268"/>
      <c r="U10" s="1268"/>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43</v>
      </c>
      <c r="N11" s="175"/>
      <c r="O11" s="1268" t="str">
        <f>IF(TITLE_IST_PUB_CHANGE="",IF(TITLE_IST_PUB="","",TITLE_IST_PUB),TITLE_IST_PUB_CHANGE)</f>
        <v/>
      </c>
      <c r="P11" s="1268"/>
      <c r="Q11" s="1268"/>
      <c r="R11" s="1268"/>
      <c r="S11" s="1268"/>
      <c r="T11" s="1268"/>
      <c r="U11" s="1268"/>
      <c r="V11" s="11"/>
      <c r="W11" s="11"/>
      <c r="X11" s="163"/>
      <c r="Y11" s="69"/>
      <c r="Z11" s="69"/>
      <c r="AA11" s="69"/>
      <c r="AB11" s="69"/>
      <c r="AC11" s="69"/>
      <c r="AD11" s="35">
        <v>23</v>
      </c>
    </row>
    <row r="12" spans="1:30" s="35" customFormat="1" ht="11.25" hidden="1" customHeight="1">
      <c r="A12" s="82"/>
      <c r="B12" s="82"/>
      <c r="C12" s="82"/>
      <c r="D12" s="82"/>
      <c r="E12" s="82"/>
      <c r="F12" s="82"/>
      <c r="G12" s="82"/>
      <c r="H12" s="82"/>
      <c r="L12" s="1553"/>
      <c r="M12" s="1553"/>
      <c r="N12" s="78"/>
      <c r="O12" s="11"/>
      <c r="P12" s="11"/>
      <c r="Q12" s="11"/>
      <c r="R12" s="11"/>
      <c r="S12" s="11"/>
      <c r="T12" s="11"/>
      <c r="U12" s="11"/>
      <c r="V12" s="68" t="s">
        <v>431</v>
      </c>
      <c r="Y12" s="69"/>
      <c r="Z12" s="69"/>
      <c r="AA12" s="69"/>
      <c r="AB12" s="69"/>
      <c r="AC12" s="69"/>
      <c r="AD12" s="35">
        <v>0</v>
      </c>
    </row>
    <row r="13" spans="1:30" ht="14.65" customHeight="1">
      <c r="J13" s="28"/>
      <c r="K13" s="28"/>
      <c r="L13" s="739"/>
      <c r="M13" s="10"/>
      <c r="N13" s="720"/>
      <c r="O13" s="1287"/>
      <c r="P13" s="1287"/>
      <c r="Q13" s="1287"/>
      <c r="R13" s="1287"/>
      <c r="S13" s="1287"/>
      <c r="T13" s="1287"/>
      <c r="U13" s="1287"/>
      <c r="V13" s="1287"/>
      <c r="AD13" s="11">
        <v>14</v>
      </c>
    </row>
    <row r="14" spans="1:30" ht="14.65" customHeight="1">
      <c r="J14" s="28"/>
      <c r="K14" s="28"/>
      <c r="L14" s="1148" t="s">
        <v>304</v>
      </c>
      <c r="M14" s="1148"/>
      <c r="N14" s="1148"/>
      <c r="O14" s="1148"/>
      <c r="P14" s="1148"/>
      <c r="Q14" s="1148"/>
      <c r="R14" s="1148"/>
      <c r="S14" s="1148"/>
      <c r="T14" s="1148"/>
      <c r="U14" s="1148"/>
      <c r="V14" s="1148"/>
      <c r="W14" s="1148"/>
      <c r="X14" s="1148" t="s">
        <v>305</v>
      </c>
      <c r="AD14" s="11">
        <v>14</v>
      </c>
    </row>
    <row r="15" spans="1:30" ht="14.65" customHeight="1">
      <c r="J15" s="28"/>
      <c r="K15" s="28"/>
      <c r="L15" s="1288" t="s">
        <v>88</v>
      </c>
      <c r="M15" s="1237" t="s">
        <v>432</v>
      </c>
      <c r="N15" s="172"/>
      <c r="O15" s="1289" t="s">
        <v>2231</v>
      </c>
      <c r="P15" s="1290"/>
      <c r="Q15" s="1290"/>
      <c r="R15" s="1290"/>
      <c r="S15" s="1290"/>
      <c r="T15" s="1290"/>
      <c r="U15" s="1291"/>
      <c r="V15" s="1292" t="s">
        <v>434</v>
      </c>
      <c r="W15" s="1295" t="s">
        <v>1150</v>
      </c>
      <c r="X15" s="1148"/>
      <c r="AD15" s="11">
        <v>14</v>
      </c>
    </row>
    <row r="16" spans="1:30" ht="35.65" customHeight="1">
      <c r="J16" s="28"/>
      <c r="K16" s="28"/>
      <c r="L16" s="1288"/>
      <c r="M16" s="1237"/>
      <c r="N16" s="607"/>
      <c r="O16" s="1207" t="s">
        <v>437</v>
      </c>
      <c r="P16" s="1207" t="s">
        <v>438</v>
      </c>
      <c r="Q16" s="1129" t="s">
        <v>439</v>
      </c>
      <c r="R16" s="1128"/>
      <c r="S16" s="1129" t="s">
        <v>453</v>
      </c>
      <c r="T16" s="1135"/>
      <c r="U16" s="1128"/>
      <c r="V16" s="1293"/>
      <c r="W16" s="1296"/>
      <c r="X16" s="1148"/>
      <c r="AD16" s="11">
        <v>34</v>
      </c>
    </row>
    <row r="17" spans="1:30" ht="35.65" customHeight="1">
      <c r="A17" s="82" t="s">
        <v>140</v>
      </c>
      <c r="B17" s="82" t="s">
        <v>141</v>
      </c>
      <c r="C17" s="82" t="s">
        <v>142</v>
      </c>
      <c r="D17" s="82" t="s">
        <v>143</v>
      </c>
      <c r="E17" s="82"/>
      <c r="J17" s="28"/>
      <c r="K17" s="28"/>
      <c r="L17" s="1288"/>
      <c r="M17" s="1237"/>
      <c r="N17" s="173"/>
      <c r="O17" s="1261"/>
      <c r="P17" s="1261"/>
      <c r="Q17" s="39" t="s">
        <v>448</v>
      </c>
      <c r="R17" s="39" t="s">
        <v>449</v>
      </c>
      <c r="S17" s="39" t="s">
        <v>450</v>
      </c>
      <c r="T17" s="1242" t="s">
        <v>451</v>
      </c>
      <c r="U17" s="1255"/>
      <c r="V17" s="1294"/>
      <c r="W17" s="1297"/>
      <c r="X17" s="1148"/>
      <c r="AD17" s="11">
        <v>34</v>
      </c>
    </row>
    <row r="18" spans="1:30" s="203" customFormat="1" ht="11.45" customHeight="1">
      <c r="A18" s="82"/>
      <c r="B18" s="82"/>
      <c r="C18" s="82"/>
      <c r="D18" s="82"/>
      <c r="E18" s="82"/>
      <c r="F18" s="506"/>
      <c r="G18" s="506"/>
      <c r="H18" s="506"/>
      <c r="I18" s="722"/>
      <c r="J18" s="723"/>
      <c r="K18" s="725">
        <v>1</v>
      </c>
      <c r="L18" s="741" t="s">
        <v>115</v>
      </c>
      <c r="M18" s="726" t="s">
        <v>103</v>
      </c>
      <c r="N18" s="721" t="str">
        <f ca="1">OFFSET(N18,0,-1)</f>
        <v>2</v>
      </c>
      <c r="O18" s="727">
        <f ca="1">OFFSET(O18,0,-1)+1</f>
        <v>3</v>
      </c>
      <c r="P18" s="727"/>
      <c r="Q18" s="727">
        <f ca="1">OFFSET(Q18,0,-1)+1</f>
        <v>1</v>
      </c>
      <c r="R18" s="727">
        <f ca="1">OFFSET(R18,0,-1)+1</f>
        <v>2</v>
      </c>
      <c r="S18" s="727">
        <f ca="1">OFFSET(S18,0,-1)+1</f>
        <v>3</v>
      </c>
      <c r="T18" s="1286">
        <f ca="1">OFFSET(T18,0,-1)+1</f>
        <v>4</v>
      </c>
      <c r="U18" s="1286"/>
      <c r="V18" s="727">
        <f ca="1">OFFSET(V18,0,-2)+1</f>
        <v>5</v>
      </c>
      <c r="W18" s="721">
        <f ca="1">OFFSET(W18,0,-1)</f>
        <v>5</v>
      </c>
      <c r="X18" s="727">
        <f ca="1">OFFSET(X18,0,-1)+1</f>
        <v>6</v>
      </c>
      <c r="Y18" s="68"/>
      <c r="Z18" s="68"/>
      <c r="AA18" s="68"/>
      <c r="AB18" s="68"/>
      <c r="AC18" s="68"/>
      <c r="AD18" s="203">
        <v>11</v>
      </c>
    </row>
    <row r="19" spans="1:30" ht="21" customHeight="1">
      <c r="A19" s="769" t="s">
        <v>174</v>
      </c>
      <c r="B19" s="769" t="s">
        <v>175</v>
      </c>
      <c r="C19" s="769" t="s">
        <v>176</v>
      </c>
      <c r="D19" s="769" t="s">
        <v>177</v>
      </c>
      <c r="E19" s="769"/>
      <c r="F19" s="426"/>
      <c r="G19" s="426"/>
      <c r="H19" s="426"/>
      <c r="J19" s="34"/>
      <c r="K19" s="207"/>
      <c r="L19" s="709">
        <f>INDEX(PT_DIFFERENTIATION_NUM_NTAR,MATCH(A19,PT_DIFFERENTIATION_NTAR_ID,0))</f>
        <v>0</v>
      </c>
      <c r="M19" s="67" t="s">
        <v>129</v>
      </c>
      <c r="N19" s="171"/>
      <c r="O19" s="1552" t="str">
        <f>INDEX(PT_DIFFERENTIATION_NTAR,MATCH(A19,PT_DIFFERENTIATION_NTAR_ID,0))</f>
        <v/>
      </c>
      <c r="P19" s="1552"/>
      <c r="Q19" s="1552"/>
      <c r="R19" s="1552"/>
      <c r="S19" s="1552"/>
      <c r="T19" s="1552"/>
      <c r="U19" s="1552"/>
      <c r="V19" s="1552"/>
      <c r="W19" s="1552"/>
      <c r="X19" s="729" t="s">
        <v>400</v>
      </c>
      <c r="Z19" s="69"/>
      <c r="AA19" s="69" t="str">
        <f t="shared" ref="AA19:AA32" si="0">IF(M19="","",M19)</f>
        <v>Наименование тарифа</v>
      </c>
      <c r="AB19" s="69"/>
      <c r="AC19" s="69"/>
      <c r="AD19" s="11">
        <v>20</v>
      </c>
    </row>
    <row r="20" spans="1:30" ht="21" customHeight="1">
      <c r="A20" s="769" t="s">
        <v>174</v>
      </c>
      <c r="B20" s="769" t="s">
        <v>175</v>
      </c>
      <c r="C20" s="769" t="s">
        <v>176</v>
      </c>
      <c r="D20" s="769" t="s">
        <v>177</v>
      </c>
      <c r="E20" s="769"/>
      <c r="F20" s="426"/>
      <c r="G20" s="426"/>
      <c r="H20" s="426"/>
      <c r="I20" s="58"/>
      <c r="J20" s="204"/>
      <c r="K20" s="205"/>
      <c r="L20" s="709" t="str">
        <f>INDEX(PT_DIFFERENTIATION_NUM_TER,MATCH(B19,PT_DIFFERENTIATION_TER_ID,0))</f>
        <v>.</v>
      </c>
      <c r="M20" s="177" t="s">
        <v>401</v>
      </c>
      <c r="N20" s="171"/>
      <c r="O20" s="1552" t="str">
        <f>INDEX(PT_DIFFERENTIATION_TER,MATCH(B19,PT_DIFFERENTIATION_TER_ID,0))</f>
        <v/>
      </c>
      <c r="P20" s="1552"/>
      <c r="Q20" s="1552"/>
      <c r="R20" s="1552"/>
      <c r="S20" s="1552"/>
      <c r="T20" s="1552"/>
      <c r="U20" s="1552"/>
      <c r="V20" s="1552"/>
      <c r="W20" s="1552"/>
      <c r="X20" s="729" t="s">
        <v>402</v>
      </c>
      <c r="Z20" s="69"/>
      <c r="AA20" s="69" t="str">
        <f t="shared" si="0"/>
        <v>Территория действия тарифа</v>
      </c>
      <c r="AB20" s="69"/>
      <c r="AC20" s="69"/>
      <c r="AD20" s="11">
        <v>20</v>
      </c>
    </row>
    <row r="21" spans="1:30" ht="24" customHeight="1">
      <c r="A21" s="769" t="s">
        <v>174</v>
      </c>
      <c r="B21" s="769" t="s">
        <v>175</v>
      </c>
      <c r="C21" s="769" t="s">
        <v>176</v>
      </c>
      <c r="D21" s="769" t="s">
        <v>177</v>
      </c>
      <c r="E21" s="769"/>
      <c r="F21" s="426"/>
      <c r="G21" s="426"/>
      <c r="H21" s="426"/>
      <c r="I21" s="206"/>
      <c r="J21" s="204"/>
      <c r="K21" s="205"/>
      <c r="L21" s="709" t="str">
        <f>INDEX(PT_DIFFERENTIATION_NUM_CS,MATCH(C19,PT_DIFFERENTIATION_CS_ID,0))</f>
        <v>..</v>
      </c>
      <c r="M21" s="178" t="s">
        <v>403</v>
      </c>
      <c r="N21" s="171"/>
      <c r="O21" s="1552" t="str">
        <f>INDEX(PT_DIFFERENTIATION_CS,MATCH(C19,PT_DIFFERENTIATION_CS_ID,0))</f>
        <v/>
      </c>
      <c r="P21" s="1552"/>
      <c r="Q21" s="1552"/>
      <c r="R21" s="1552"/>
      <c r="S21" s="1552"/>
      <c r="T21" s="1552"/>
      <c r="U21" s="1552"/>
      <c r="V21" s="1552"/>
      <c r="W21" s="1552"/>
      <c r="X21" s="729" t="s">
        <v>404</v>
      </c>
      <c r="Z21" s="69"/>
      <c r="AA21" s="69" t="str">
        <f t="shared" si="0"/>
        <v xml:space="preserve">Наименование системы теплоснабжения </v>
      </c>
      <c r="AB21" s="69"/>
      <c r="AC21" s="69"/>
      <c r="AD21" s="11">
        <v>23</v>
      </c>
    </row>
    <row r="22" spans="1:30" ht="21" customHeight="1">
      <c r="A22" s="769" t="s">
        <v>174</v>
      </c>
      <c r="B22" s="769" t="s">
        <v>175</v>
      </c>
      <c r="C22" s="769" t="s">
        <v>176</v>
      </c>
      <c r="D22" s="769" t="s">
        <v>177</v>
      </c>
      <c r="E22" s="769"/>
      <c r="F22" s="426"/>
      <c r="G22" s="426"/>
      <c r="H22" s="426"/>
      <c r="I22" s="206"/>
      <c r="J22" s="204"/>
      <c r="K22" s="205"/>
      <c r="L22" s="709" t="str">
        <f>INDEX(PT_DIFFERENTIATION_NUM_IST_TE,MATCH(D19,PT_DIFFERENTIATION_IST_TE_ID,0))</f>
        <v>...</v>
      </c>
      <c r="M22" s="179" t="s">
        <v>405</v>
      </c>
      <c r="N22" s="171"/>
      <c r="O22" s="1552" t="str">
        <f>INDEX(PT_DIFFERENTIATION_IST_TE,MATCH(D19,PT_DIFFERENTIATION_IST_TE_ID,0))</f>
        <v/>
      </c>
      <c r="P22" s="1552"/>
      <c r="Q22" s="1552"/>
      <c r="R22" s="1552"/>
      <c r="S22" s="1552"/>
      <c r="T22" s="1552"/>
      <c r="U22" s="1552"/>
      <c r="V22" s="1552"/>
      <c r="W22" s="1552"/>
      <c r="X22" s="729" t="s">
        <v>406</v>
      </c>
      <c r="Z22" s="69"/>
      <c r="AA22" s="69" t="str">
        <f t="shared" si="0"/>
        <v xml:space="preserve">Источник тепловой энергии  </v>
      </c>
      <c r="AB22" s="69"/>
      <c r="AC22" s="69"/>
      <c r="AD22" s="11">
        <v>20</v>
      </c>
    </row>
    <row r="23" spans="1:30" ht="96.75" customHeight="1">
      <c r="A23" s="769" t="s">
        <v>174</v>
      </c>
      <c r="B23" s="769" t="s">
        <v>175</v>
      </c>
      <c r="C23" s="769" t="s">
        <v>176</v>
      </c>
      <c r="D23" s="769" t="s">
        <v>177</v>
      </c>
      <c r="E23" s="769"/>
      <c r="F23" s="1133" t="str">
        <f>L22&amp;".1"</f>
        <v>....1</v>
      </c>
      <c r="I23" s="1279">
        <v>1</v>
      </c>
      <c r="J23" s="122"/>
      <c r="K23" s="208"/>
      <c r="L23" s="709" t="str">
        <f>$F$23</f>
        <v>....1</v>
      </c>
      <c r="M23" s="164" t="s">
        <v>408</v>
      </c>
      <c r="N23" s="171"/>
      <c r="O23" s="1309"/>
      <c r="P23" s="1309"/>
      <c r="Q23" s="1309"/>
      <c r="R23" s="1309"/>
      <c r="S23" s="1309"/>
      <c r="T23" s="1309"/>
      <c r="U23" s="1309"/>
      <c r="V23" s="1309"/>
      <c r="W23" s="1309"/>
      <c r="X23" s="729" t="s">
        <v>409</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174</v>
      </c>
      <c r="B24" s="769" t="s">
        <v>175</v>
      </c>
      <c r="C24" s="769" t="s">
        <v>176</v>
      </c>
      <c r="D24" s="769" t="s">
        <v>177</v>
      </c>
      <c r="E24" s="769"/>
      <c r="F24" s="1133"/>
      <c r="G24" s="1133" t="str">
        <f>F23&amp;".1"</f>
        <v>....1.1</v>
      </c>
      <c r="I24" s="1279"/>
      <c r="J24" s="1279">
        <v>1</v>
      </c>
      <c r="K24" s="209"/>
      <c r="L24" s="709" t="str">
        <f>$G$24</f>
        <v>....1.1</v>
      </c>
      <c r="M24" s="165" t="s">
        <v>411</v>
      </c>
      <c r="N24" s="171"/>
      <c r="O24" s="1263"/>
      <c r="P24" s="1264"/>
      <c r="Q24" s="1264"/>
      <c r="R24" s="1264"/>
      <c r="S24" s="1264"/>
      <c r="T24" s="1264"/>
      <c r="U24" s="1264"/>
      <c r="V24" s="1264"/>
      <c r="W24" s="1265"/>
      <c r="X24" s="729" t="s">
        <v>412</v>
      </c>
      <c r="Z24" s="69"/>
      <c r="AA24" s="69" t="str">
        <f t="shared" si="0"/>
        <v>Группа потребителей</v>
      </c>
      <c r="AB24" s="69"/>
      <c r="AC24" s="69"/>
      <c r="AD24" s="11">
        <v>82</v>
      </c>
    </row>
    <row r="25" spans="1:30" ht="11.45" customHeight="1">
      <c r="A25" s="769" t="s">
        <v>174</v>
      </c>
      <c r="B25" s="769" t="s">
        <v>175</v>
      </c>
      <c r="C25" s="769" t="s">
        <v>176</v>
      </c>
      <c r="D25" s="769" t="s">
        <v>177</v>
      </c>
      <c r="E25" s="769"/>
      <c r="F25" s="1133"/>
      <c r="G25" s="1133"/>
      <c r="H25" s="1133" t="str">
        <f>G24&amp;".1"</f>
        <v>....1.1.1</v>
      </c>
      <c r="I25" s="1279"/>
      <c r="J25" s="1279"/>
      <c r="K25" s="209">
        <v>1</v>
      </c>
      <c r="L25" s="709" t="str">
        <f>$H$25</f>
        <v>....1.1.1</v>
      </c>
      <c r="M25" s="765"/>
      <c r="N25" s="171"/>
      <c r="O25" s="306"/>
      <c r="P25" s="191"/>
      <c r="Q25" s="306"/>
      <c r="R25" s="728"/>
      <c r="S25" s="1280"/>
      <c r="T25" s="1158" t="s">
        <v>66</v>
      </c>
      <c r="U25" s="1280"/>
      <c r="V25" s="1158" t="s">
        <v>19</v>
      </c>
      <c r="W25" s="191"/>
      <c r="X25" s="1298" t="s">
        <v>414</v>
      </c>
      <c r="Y25" s="68" t="e">
        <f ca="1">STRCHECKDATE(O26:W26)</f>
        <v>#NAME?</v>
      </c>
      <c r="Z25" s="69"/>
      <c r="AA25" s="69" t="str">
        <f t="shared" si="0"/>
        <v/>
      </c>
      <c r="AB25" s="69"/>
      <c r="AC25" s="69"/>
      <c r="AD25" s="11">
        <v>11</v>
      </c>
    </row>
    <row r="26" spans="1:30" ht="11.45" customHeight="1">
      <c r="A26" s="769" t="s">
        <v>174</v>
      </c>
      <c r="B26" s="769" t="s">
        <v>175</v>
      </c>
      <c r="C26" s="769" t="s">
        <v>176</v>
      </c>
      <c r="D26" s="769" t="s">
        <v>177</v>
      </c>
      <c r="E26" s="769"/>
      <c r="F26" s="1133"/>
      <c r="G26" s="1133"/>
      <c r="H26" s="1133"/>
      <c r="I26" s="1279"/>
      <c r="J26" s="1279"/>
      <c r="K26" s="209"/>
      <c r="L26" s="65"/>
      <c r="M26" s="171"/>
      <c r="N26" s="171"/>
      <c r="O26" s="191"/>
      <c r="P26" s="191"/>
      <c r="Q26" s="191"/>
      <c r="R26" s="192" t="str">
        <f>S25&amp;"-"&amp;U25</f>
        <v>-</v>
      </c>
      <c r="S26" s="1281"/>
      <c r="T26" s="1158"/>
      <c r="U26" s="1281"/>
      <c r="V26" s="1158"/>
      <c r="W26" s="191"/>
      <c r="X26" s="1299"/>
      <c r="Z26" s="69"/>
      <c r="AA26" s="69" t="str">
        <f t="shared" si="0"/>
        <v/>
      </c>
      <c r="AB26" s="69"/>
      <c r="AC26" s="69"/>
      <c r="AD26" s="11">
        <v>11</v>
      </c>
    </row>
    <row r="27" spans="1:30" ht="15.75" customHeight="1">
      <c r="A27" s="769" t="s">
        <v>174</v>
      </c>
      <c r="B27" s="769" t="s">
        <v>175</v>
      </c>
      <c r="C27" s="769" t="s">
        <v>176</v>
      </c>
      <c r="D27" s="769" t="s">
        <v>177</v>
      </c>
      <c r="E27" s="769"/>
      <c r="F27" s="1133"/>
      <c r="G27" s="1133"/>
      <c r="I27" s="1279"/>
      <c r="J27" s="1279"/>
      <c r="K27" s="208"/>
      <c r="L27" s="742"/>
      <c r="M27" s="167" t="s">
        <v>415</v>
      </c>
      <c r="N27" s="213"/>
      <c r="O27" s="213"/>
      <c r="P27" s="213"/>
      <c r="Q27" s="213"/>
      <c r="R27" s="213"/>
      <c r="S27" s="213"/>
      <c r="T27" s="213"/>
      <c r="U27" s="213"/>
      <c r="V27" s="213"/>
      <c r="W27" s="190"/>
      <c r="X27" s="1300"/>
      <c r="Z27" s="69"/>
      <c r="AA27" s="69" t="str">
        <f t="shared" si="0"/>
        <v>Добавить вид теплоносителя (параметры теплоносителя)</v>
      </c>
      <c r="AB27" s="69"/>
      <c r="AC27" s="69"/>
      <c r="AD27" s="11">
        <v>15</v>
      </c>
    </row>
    <row r="28" spans="1:30" ht="15.75" customHeight="1">
      <c r="A28" s="769" t="s">
        <v>174</v>
      </c>
      <c r="B28" s="769" t="s">
        <v>175</v>
      </c>
      <c r="C28" s="769" t="s">
        <v>176</v>
      </c>
      <c r="D28" s="769" t="s">
        <v>177</v>
      </c>
      <c r="E28" s="769"/>
      <c r="F28" s="1133"/>
      <c r="I28" s="1279"/>
      <c r="J28" s="122"/>
      <c r="K28" s="208"/>
      <c r="L28" s="742"/>
      <c r="M28" s="166" t="s">
        <v>416</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65" customHeight="1">
      <c r="A29" s="769" t="s">
        <v>174</v>
      </c>
      <c r="B29" s="769" t="s">
        <v>175</v>
      </c>
      <c r="C29" s="769" t="s">
        <v>176</v>
      </c>
      <c r="D29" s="769" t="s">
        <v>177</v>
      </c>
      <c r="E29" s="769"/>
      <c r="F29" s="426"/>
      <c r="G29" s="426"/>
      <c r="H29" s="63"/>
      <c r="I29" s="34"/>
      <c r="J29" s="216"/>
      <c r="K29" s="207"/>
      <c r="L29" s="742"/>
      <c r="M29" s="211" t="s">
        <v>417</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65" customHeight="1">
      <c r="A30" s="769" t="s">
        <v>174</v>
      </c>
      <c r="B30" s="769" t="s">
        <v>175</v>
      </c>
      <c r="C30" s="769" t="s">
        <v>176</v>
      </c>
      <c r="D30" s="769"/>
      <c r="E30" s="769" t="s">
        <v>590</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65" customHeight="1">
      <c r="A31" s="769" t="s">
        <v>174</v>
      </c>
      <c r="B31" s="769" t="s">
        <v>175</v>
      </c>
      <c r="C31" s="769"/>
      <c r="D31" s="769"/>
      <c r="E31" s="769" t="s">
        <v>2232</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65" customHeight="1">
      <c r="A32" s="769" t="s">
        <v>2233</v>
      </c>
      <c r="B32" s="769"/>
      <c r="C32" s="769"/>
      <c r="D32" s="769"/>
      <c r="E32" s="769" t="s">
        <v>110</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45" customHeight="1">
      <c r="A33" s="769"/>
      <c r="B33" s="769"/>
      <c r="C33" s="769"/>
      <c r="D33" s="769"/>
      <c r="E33" s="769" t="s">
        <v>452</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45" customHeight="1">
      <c r="F34" s="63"/>
      <c r="G34" s="63"/>
      <c r="H34" s="63"/>
      <c r="I34" s="11"/>
      <c r="J34" s="11"/>
      <c r="K34" s="11"/>
      <c r="Y34" s="11"/>
      <c r="Z34" s="11"/>
      <c r="AA34" s="11"/>
      <c r="AB34" s="11"/>
      <c r="AC34" s="11"/>
      <c r="AD34" s="11">
        <v>11</v>
      </c>
    </row>
    <row r="35" spans="1:30" ht="28.5" customHeight="1">
      <c r="H35" s="63"/>
      <c r="L35" s="373" t="s">
        <v>807</v>
      </c>
      <c r="M35" s="1274" t="s">
        <v>2234</v>
      </c>
      <c r="N35" s="1274"/>
      <c r="O35" s="1274"/>
      <c r="P35" s="1274"/>
      <c r="Q35" s="1274"/>
      <c r="R35" s="1274"/>
      <c r="S35" s="1274"/>
      <c r="T35" s="1274"/>
      <c r="U35" s="1274"/>
      <c r="V35" s="1274"/>
      <c r="W35" s="1274"/>
      <c r="X35" s="1274"/>
      <c r="AD35" s="11">
        <v>27</v>
      </c>
    </row>
    <row r="36" spans="1:30" ht="109.15" customHeight="1">
      <c r="H36" s="63"/>
      <c r="M36" s="1274" t="s">
        <v>2235</v>
      </c>
      <c r="N36" s="1274"/>
      <c r="O36" s="1274"/>
      <c r="P36" s="1274"/>
      <c r="Q36" s="1274"/>
      <c r="R36" s="1274"/>
      <c r="S36" s="1274"/>
      <c r="T36" s="1274"/>
      <c r="U36" s="1274"/>
      <c r="V36" s="1274"/>
      <c r="W36" s="1274"/>
      <c r="X36" s="1274"/>
      <c r="AD36" s="11">
        <v>104</v>
      </c>
    </row>
    <row r="37" spans="1:30" ht="14.65" customHeight="1">
      <c r="H37" s="63"/>
      <c r="AD37" s="11">
        <v>14</v>
      </c>
    </row>
    <row r="38" spans="1:30" ht="14.65" customHeight="1">
      <c r="H38" s="63"/>
      <c r="AD38" s="11">
        <v>14</v>
      </c>
    </row>
    <row r="39" spans="1:30" ht="14.65" customHeight="1">
      <c r="H39" s="63"/>
      <c r="AD39" s="11">
        <v>14</v>
      </c>
    </row>
    <row r="40" spans="1:30" ht="14.65" customHeight="1">
      <c r="H40" s="63"/>
      <c r="AD40" s="11">
        <v>14</v>
      </c>
    </row>
    <row r="41" spans="1:30" ht="22.5" hidden="1" customHeight="1">
      <c r="A41" s="63" t="s">
        <v>82</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30353-B135-0D52-3515-EC89F17F117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0A6FD-5EA5-77C4-B75A-8B3A4E2AD70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4AA3C-1FF7-BCE7-A204-AD9AC168B56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F6317-A802-61A9-C33E-684B8D0B325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1D12A-6A66-AC1D-65C5-0A29E7CC9DB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C6062-5976-F8ED-5BFE-E75AE1DE4C58}">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40625" style="254" hidden="1"/>
  </cols>
  <sheetData>
    <row r="1" spans="1:10" ht="11.25" hidden="1" customHeight="1">
      <c r="A1" s="7" t="s">
        <v>303</v>
      </c>
      <c r="J1" s="254" t="s">
        <v>14</v>
      </c>
    </row>
    <row r="2" spans="1:10" ht="11.25" hidden="1" customHeight="1">
      <c r="J2" s="254">
        <v>0</v>
      </c>
    </row>
    <row r="3" spans="1:10" s="272" customFormat="1" ht="11.45" customHeight="1">
      <c r="A3" s="7"/>
      <c r="B3" s="288"/>
      <c r="D3" s="273"/>
      <c r="J3" s="272">
        <v>11</v>
      </c>
    </row>
    <row r="4" spans="1:10" ht="27.4" customHeight="1">
      <c r="D4" s="119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1199"/>
      <c r="F4" s="1200"/>
      <c r="I4" s="413"/>
      <c r="J4" s="254">
        <v>26</v>
      </c>
    </row>
    <row r="5" spans="1:10" ht="18" customHeight="1">
      <c r="D5" s="1229" t="str">
        <f>IF(org=0,"Не определено",org)</f>
        <v>ООО "Инженерные сети"</v>
      </c>
      <c r="E5" s="1229"/>
      <c r="F5" s="1229"/>
      <c r="I5" s="413"/>
      <c r="J5" s="254">
        <v>17</v>
      </c>
    </row>
    <row r="6" spans="1:10" s="272" customFormat="1" ht="11.45" customHeight="1">
      <c r="A6" s="7"/>
      <c r="B6" s="288"/>
      <c r="D6" s="412"/>
      <c r="E6" s="412"/>
      <c r="F6" s="435"/>
      <c r="G6" s="412"/>
      <c r="J6" s="272">
        <v>11</v>
      </c>
    </row>
    <row r="7" spans="1:10" ht="11.25" hidden="1" customHeight="1">
      <c r="A7" s="10"/>
      <c r="B7" s="289"/>
      <c r="C7" s="10"/>
      <c r="D7" s="14"/>
      <c r="E7" s="1235"/>
      <c r="F7" s="1235"/>
      <c r="J7" s="254">
        <v>0</v>
      </c>
    </row>
    <row r="8" spans="1:10" ht="11.45" customHeight="1">
      <c r="A8" s="10"/>
      <c r="B8" s="289"/>
      <c r="C8" s="10"/>
      <c r="D8" s="1232" t="s">
        <v>304</v>
      </c>
      <c r="E8" s="1233"/>
      <c r="F8" s="1233"/>
      <c r="G8" s="1236" t="s">
        <v>305</v>
      </c>
      <c r="J8" s="254">
        <v>11</v>
      </c>
    </row>
    <row r="9" spans="1:10" ht="11.45" customHeight="1">
      <c r="A9" s="10"/>
      <c r="B9" s="289"/>
      <c r="C9" s="10"/>
      <c r="D9" s="268" t="s">
        <v>88</v>
      </c>
      <c r="E9" s="252" t="s">
        <v>306</v>
      </c>
      <c r="F9" s="252" t="s">
        <v>307</v>
      </c>
      <c r="G9" s="1237"/>
      <c r="J9" s="254">
        <v>11</v>
      </c>
    </row>
    <row r="10" spans="1:10" ht="12" hidden="1" customHeight="1">
      <c r="A10" s="10"/>
      <c r="B10" s="289"/>
      <c r="C10" s="10"/>
      <c r="D10" s="261"/>
      <c r="E10" s="261"/>
      <c r="F10" s="261"/>
      <c r="G10" s="261"/>
      <c r="J10" s="254">
        <v>0</v>
      </c>
    </row>
    <row r="11" spans="1:10" ht="22.5" hidden="1" customHeight="1">
      <c r="A11" s="10"/>
      <c r="B11" s="289"/>
      <c r="C11" s="10"/>
      <c r="D11" s="592" t="s">
        <v>115</v>
      </c>
      <c r="E11" s="317" t="s">
        <v>308</v>
      </c>
      <c r="F11" s="362" t="str">
        <f>IF(region_name="","",region_name)</f>
        <v>Республика Татарстан</v>
      </c>
      <c r="G11" s="317" t="s">
        <v>309</v>
      </c>
      <c r="H11" s="270"/>
      <c r="J11" s="254">
        <v>0</v>
      </c>
    </row>
    <row r="12" spans="1:10" ht="22.5" hidden="1" customHeight="1">
      <c r="A12" s="10"/>
      <c r="B12" s="289"/>
      <c r="C12" s="10"/>
      <c r="D12" s="251" t="s">
        <v>115</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9" t="s">
        <v>310</v>
      </c>
      <c r="G12" s="269"/>
      <c r="H12" s="270"/>
      <c r="J12" s="254">
        <v>0</v>
      </c>
    </row>
    <row r="13" spans="1:10" ht="23.25" customHeight="1">
      <c r="A13" s="10"/>
      <c r="B13" s="289"/>
      <c r="C13" s="10"/>
      <c r="D13" s="251" t="s">
        <v>115</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270"/>
      <c r="J13" s="254">
        <v>22</v>
      </c>
    </row>
    <row r="14" spans="1:10" ht="22.5" hidden="1" customHeight="1">
      <c r="A14" s="10"/>
      <c r="B14" s="289"/>
      <c r="C14" s="10"/>
      <c r="D14" s="592" t="s">
        <v>311</v>
      </c>
      <c r="E14" s="593" t="s">
        <v>312</v>
      </c>
      <c r="F14" s="362" t="str">
        <f>IF(inn="","",inn)</f>
        <v>1623009998</v>
      </c>
      <c r="G14" s="317" t="s">
        <v>313</v>
      </c>
      <c r="H14" s="270"/>
      <c r="J14" s="254">
        <v>0</v>
      </c>
    </row>
    <row r="15" spans="1:10" ht="22.5" hidden="1" customHeight="1">
      <c r="A15" s="10"/>
      <c r="B15" s="289"/>
      <c r="C15" s="10"/>
      <c r="D15" s="592" t="s">
        <v>314</v>
      </c>
      <c r="E15" s="593" t="s">
        <v>315</v>
      </c>
      <c r="F15" s="362" t="str">
        <f>IF(kpp="","",kpp)</f>
        <v>162301001</v>
      </c>
      <c r="G15" s="317" t="s">
        <v>316</v>
      </c>
      <c r="H15" s="270"/>
      <c r="J15" s="254">
        <v>0</v>
      </c>
    </row>
    <row r="16" spans="1:10" ht="39" customHeight="1">
      <c r="A16" s="10"/>
      <c r="B16" s="289"/>
      <c r="C16" s="10"/>
      <c r="D16" s="251" t="s">
        <v>103</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90</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91</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30" t="s">
        <v>317</v>
      </c>
      <c r="B19" s="289"/>
      <c r="C19" s="1241"/>
      <c r="D19" s="251" t="str">
        <f>A19</f>
        <v>5.1</v>
      </c>
      <c r="E19" s="249" t="s">
        <v>318</v>
      </c>
      <c r="F19" s="39" t="s">
        <v>310</v>
      </c>
      <c r="G19" s="250" t="s">
        <v>319</v>
      </c>
      <c r="H19" s="270"/>
      <c r="I19" s="489"/>
      <c r="J19" s="254">
        <v>0</v>
      </c>
    </row>
    <row r="20" spans="1:10" ht="24" hidden="1" customHeight="1">
      <c r="A20" s="1230"/>
      <c r="B20" s="289"/>
      <c r="C20" s="1241"/>
      <c r="D20" s="247" t="str">
        <f>D19&amp;".1"</f>
        <v>5.1.1</v>
      </c>
      <c r="E20" s="246" t="s">
        <v>320</v>
      </c>
      <c r="F20" s="510" t="s">
        <v>22</v>
      </c>
      <c r="G20" s="269"/>
      <c r="H20" s="270"/>
      <c r="I20" s="489"/>
      <c r="J20" s="254">
        <v>0</v>
      </c>
    </row>
    <row r="21" spans="1:10" ht="22.5" hidden="1" customHeight="1">
      <c r="A21" s="1230"/>
      <c r="B21" s="289"/>
      <c r="C21" s="1241"/>
      <c r="D21" s="247" t="str">
        <f>D19&amp;".2"</f>
        <v>5.1.2</v>
      </c>
      <c r="E21" s="246" t="s">
        <v>321</v>
      </c>
      <c r="F21" s="942" t="s">
        <v>22</v>
      </c>
      <c r="G21" s="250" t="s">
        <v>322</v>
      </c>
      <c r="H21" s="270"/>
      <c r="I21" s="489"/>
      <c r="J21" s="254">
        <v>0</v>
      </c>
    </row>
    <row r="22" spans="1:10" ht="22.5" hidden="1" customHeight="1">
      <c r="A22" s="1230"/>
      <c r="B22" s="289"/>
      <c r="C22" s="1241"/>
      <c r="D22" s="247" t="str">
        <f>D19&amp;".3"</f>
        <v>5.1.3</v>
      </c>
      <c r="E22" s="246" t="s">
        <v>323</v>
      </c>
      <c r="F22" s="510" t="s">
        <v>22</v>
      </c>
      <c r="G22" s="269"/>
      <c r="H22" s="270"/>
      <c r="I22" s="489"/>
      <c r="J22" s="254">
        <v>0</v>
      </c>
    </row>
    <row r="23" spans="1:10" ht="22.5" hidden="1" customHeight="1">
      <c r="A23" s="1230"/>
      <c r="B23" s="289"/>
      <c r="C23" s="1241"/>
      <c r="D23" s="247" t="str">
        <f>D19&amp;".4"</f>
        <v>5.1.4</v>
      </c>
      <c r="E23" s="246" t="s">
        <v>324</v>
      </c>
      <c r="F23" s="510" t="s">
        <v>22</v>
      </c>
      <c r="G23" s="250" t="s">
        <v>325</v>
      </c>
      <c r="H23" s="270"/>
      <c r="I23" s="489"/>
      <c r="J23" s="254">
        <v>0</v>
      </c>
    </row>
    <row r="24" spans="1:10" ht="22.5" hidden="1" customHeight="1">
      <c r="A24" s="1051"/>
      <c r="B24" s="289"/>
      <c r="C24" s="282"/>
      <c r="D24" s="263"/>
      <c r="E24" s="110" t="s">
        <v>326</v>
      </c>
      <c r="F24" s="264"/>
      <c r="G24" s="265"/>
      <c r="H24" s="270"/>
      <c r="I24" s="489"/>
      <c r="J24" s="254">
        <v>0</v>
      </c>
    </row>
    <row r="25" spans="1:10" s="288" customFormat="1" ht="24.75" hidden="1" customHeight="1">
      <c r="A25" s="10"/>
      <c r="B25" s="289"/>
      <c r="C25" s="289"/>
      <c r="D25" s="589" t="s">
        <v>90</v>
      </c>
      <c r="E25" s="591" t="s">
        <v>327</v>
      </c>
      <c r="F25" s="316" t="s">
        <v>310</v>
      </c>
      <c r="G25" s="591"/>
      <c r="J25" s="288">
        <v>0</v>
      </c>
    </row>
    <row r="26" spans="1:10" s="288" customFormat="1" ht="11.25" hidden="1" customHeight="1">
      <c r="A26" s="10"/>
      <c r="B26" s="289"/>
      <c r="C26" s="289"/>
      <c r="D26" s="589" t="s">
        <v>328</v>
      </c>
      <c r="E26" s="590" t="s">
        <v>329</v>
      </c>
      <c r="F26" s="316" t="s">
        <v>310</v>
      </c>
      <c r="G26" s="591"/>
      <c r="J26" s="288">
        <v>0</v>
      </c>
    </row>
    <row r="27" spans="1:10" s="288" customFormat="1" ht="11.25" hidden="1" customHeight="1">
      <c r="A27" s="10"/>
      <c r="B27" s="289"/>
      <c r="C27" s="289"/>
      <c r="D27" s="589" t="s">
        <v>330</v>
      </c>
      <c r="E27" s="594" t="s">
        <v>331</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332</v>
      </c>
      <c r="E28" s="594" t="s">
        <v>333</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334</v>
      </c>
      <c r="E29" s="594" t="s">
        <v>335</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336</v>
      </c>
      <c r="E30" s="590" t="s">
        <v>337</v>
      </c>
      <c r="F30" s="595"/>
      <c r="G30" s="591"/>
      <c r="J30" s="288">
        <v>0</v>
      </c>
    </row>
    <row r="31" spans="1:10" s="288" customFormat="1" ht="11.25" hidden="1" customHeight="1">
      <c r="A31" s="10"/>
      <c r="B31" s="289"/>
      <c r="C31" s="289"/>
      <c r="D31" s="589" t="s">
        <v>338</v>
      </c>
      <c r="E31" s="590" t="s">
        <v>339</v>
      </c>
      <c r="F31" s="595"/>
      <c r="G31" s="591"/>
      <c r="J31" s="288">
        <v>0</v>
      </c>
    </row>
    <row r="32" spans="1:10" s="288" customFormat="1" ht="11.25" hidden="1" customHeight="1">
      <c r="A32" s="10"/>
      <c r="B32" s="289"/>
      <c r="C32" s="289"/>
      <c r="D32" s="589" t="s">
        <v>340</v>
      </c>
      <c r="E32" s="590" t="s">
        <v>341</v>
      </c>
      <c r="F32" s="595"/>
      <c r="G32" s="591"/>
      <c r="J32" s="288">
        <v>0</v>
      </c>
    </row>
    <row r="33" spans="1:10" ht="24" customHeight="1">
      <c r="A33" s="10" t="str">
        <f>IF(TEMPLATE_SPHERE="HEAT","6","5")</f>
        <v>6</v>
      </c>
      <c r="B33" s="289"/>
      <c r="C33" s="10"/>
      <c r="D33" s="247" t="str">
        <f>A33</f>
        <v>6</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9" t="s">
        <v>310</v>
      </c>
      <c r="G33" s="269"/>
      <c r="H33" s="270"/>
      <c r="J33" s="254">
        <v>23</v>
      </c>
    </row>
    <row r="34" spans="1:10" ht="23.25" customHeight="1">
      <c r="A34" s="10"/>
      <c r="B34" s="289"/>
      <c r="C34" s="10"/>
      <c r="D34" s="247" t="str">
        <f>D33&amp;".1"</f>
        <v>6.1</v>
      </c>
      <c r="E34" s="249" t="str">
        <f>"фамилия"&amp;IF(TEMPLATE_SPHERE&lt;&gt;"HEAT"," руководителя","")</f>
        <v>фамилия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270"/>
      <c r="J34" s="254">
        <v>22</v>
      </c>
    </row>
    <row r="35" spans="1:10" ht="23.25" customHeight="1">
      <c r="A35" s="10"/>
      <c r="B35" s="289"/>
      <c r="C35" s="10"/>
      <c r="D35" s="247" t="str">
        <f>D33&amp;".2"</f>
        <v>6.2</v>
      </c>
      <c r="E35" s="249" t="str">
        <f>"имя"&amp;IF(TEMPLATE_SPHERE&lt;&gt;"HEAT"," руководителя","")</f>
        <v>имя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270"/>
      <c r="J35" s="254">
        <v>22</v>
      </c>
    </row>
    <row r="36" spans="1:10" ht="24" customHeight="1">
      <c r="A36" s="10"/>
      <c r="B36" s="289"/>
      <c r="C36" s="10"/>
      <c r="D36" s="247" t="str">
        <f>D33&amp;".3"</f>
        <v>6.3</v>
      </c>
      <c r="E36" s="249" t="str">
        <f>"отчество"&amp;IF(TEMPLATE_SPHERE&lt;&gt;"HEAT"," руководителя","")</f>
        <v>отчество</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270"/>
      <c r="J36" s="254">
        <v>23</v>
      </c>
    </row>
    <row r="37" spans="1:10" ht="35.65" customHeight="1">
      <c r="A37" s="10"/>
      <c r="B37" s="289"/>
      <c r="C37" s="10"/>
      <c r="D37" s="247">
        <f>D33+1</f>
        <v>7</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248"/>
      <c r="G37" s="250" t="s">
        <v>342</v>
      </c>
      <c r="H37" s="270"/>
      <c r="J37" s="254">
        <v>34</v>
      </c>
    </row>
    <row r="38" spans="1:10" ht="35.65" customHeight="1">
      <c r="A38" s="10"/>
      <c r="B38" s="289"/>
      <c r="C38" s="10"/>
      <c r="D38" s="247">
        <f>D37+1</f>
        <v>8</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248"/>
      <c r="G38" s="250" t="s">
        <v>342</v>
      </c>
      <c r="H38" s="270"/>
      <c r="J38" s="254">
        <v>34</v>
      </c>
    </row>
    <row r="39" spans="1:10" ht="23.25" customHeight="1">
      <c r="A39" s="10"/>
      <c r="B39" s="289"/>
      <c r="C39" s="10"/>
      <c r="D39" s="247">
        <f>D38+1</f>
        <v>9</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9" t="s">
        <v>310</v>
      </c>
      <c r="G39" s="123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9.0</v>
      </c>
      <c r="E40" s="394"/>
      <c r="F40" s="510"/>
      <c r="G40" s="1239"/>
      <c r="H40" s="270"/>
      <c r="J40" s="254">
        <v>0</v>
      </c>
    </row>
    <row r="41" spans="1:10" ht="23.25" customHeight="1">
      <c r="A41" s="10"/>
      <c r="B41" s="10"/>
      <c r="C41" s="23"/>
      <c r="D41" s="247" t="str">
        <f>D39&amp;".1"</f>
        <v>9.1</v>
      </c>
      <c r="E41" s="497"/>
      <c r="F41" s="401"/>
      <c r="G41" s="1239"/>
      <c r="H41" s="270"/>
      <c r="J41" s="254">
        <v>22</v>
      </c>
    </row>
    <row r="42" spans="1:10" ht="15.75" customHeight="1">
      <c r="A42" s="10"/>
      <c r="B42" s="289"/>
      <c r="C42" s="10"/>
      <c r="D42" s="263"/>
      <c r="E42" s="110" t="s">
        <v>343</v>
      </c>
      <c r="F42" s="265"/>
      <c r="G42" s="1240"/>
      <c r="H42" s="271"/>
      <c r="J42" s="254">
        <v>15</v>
      </c>
    </row>
    <row r="43" spans="1:10" ht="27.4" customHeight="1">
      <c r="A43" s="10"/>
      <c r="B43" s="289"/>
      <c r="C43" s="10"/>
      <c r="D43" s="247">
        <f>D39+1</f>
        <v>10</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11</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7"/>
      <c r="G44" s="269" t="s">
        <v>344</v>
      </c>
      <c r="H44" s="270"/>
      <c r="J44" s="254">
        <v>22</v>
      </c>
    </row>
    <row r="45" spans="1:10" ht="23.25" customHeight="1">
      <c r="A45" s="10"/>
      <c r="B45" s="289"/>
      <c r="C45" s="10"/>
      <c r="D45" s="247">
        <f>D44+1</f>
        <v>12</v>
      </c>
      <c r="E45" s="245" t="s">
        <v>345</v>
      </c>
      <c r="F45" s="39" t="s">
        <v>310</v>
      </c>
      <c r="G45" s="244" t="str">
        <f>IF(TEMPLATE_SPHERE="TKO","Указывается режим работы организации.","")</f>
        <v/>
      </c>
      <c r="H45" s="270"/>
      <c r="J45" s="254">
        <v>22</v>
      </c>
    </row>
    <row r="46" spans="1:10" ht="24" customHeight="1">
      <c r="A46" s="10"/>
      <c r="B46" s="289"/>
      <c r="C46" s="10"/>
      <c r="D46" s="247" t="str">
        <f>D45&amp;".1"</f>
        <v>12.1</v>
      </c>
      <c r="E46" s="249" t="str">
        <f>"режим работы регулируемой организации"&amp;IF(TEMPLATE_SPHERE="HEAT",", ЕТО, ТО","")</f>
        <v>режим работы регулируемой организации, ЕТО, ТО</v>
      </c>
      <c r="F46" s="113"/>
      <c r="G46" s="244" t="s">
        <v>346</v>
      </c>
      <c r="H46" s="270"/>
      <c r="J46" s="254">
        <v>23</v>
      </c>
    </row>
    <row r="47" spans="1:10" ht="24" customHeight="1">
      <c r="A47" s="1230"/>
      <c r="B47" s="289"/>
      <c r="C47" s="282"/>
      <c r="D47" s="247" t="str">
        <f>D45&amp;".2"</f>
        <v>12.2</v>
      </c>
      <c r="E47" s="249" t="s">
        <v>347</v>
      </c>
      <c r="F47" s="113"/>
      <c r="G47" s="244" t="s">
        <v>348</v>
      </c>
      <c r="H47" s="270"/>
      <c r="J47" s="254">
        <v>23</v>
      </c>
    </row>
    <row r="48" spans="1:10" ht="24" customHeight="1">
      <c r="A48" s="1230"/>
      <c r="B48" s="289"/>
      <c r="C48" s="282"/>
      <c r="D48" s="247" t="str">
        <f>D45&amp;".3"</f>
        <v>12.3</v>
      </c>
      <c r="E48" s="249" t="s">
        <v>349</v>
      </c>
      <c r="F48" s="113"/>
      <c r="G48" s="244" t="s">
        <v>350</v>
      </c>
      <c r="H48" s="270"/>
      <c r="J48" s="254">
        <v>23</v>
      </c>
    </row>
    <row r="49" spans="1:10" ht="24" customHeight="1">
      <c r="A49" s="1230"/>
      <c r="B49" s="289"/>
      <c r="C49" s="282"/>
      <c r="D49" s="247" t="str">
        <f>IF(TEMPLATE_SPHERE="TKO",D45&amp;".0",D45&amp;".4")</f>
        <v>12.4</v>
      </c>
      <c r="E49" s="243" t="s">
        <v>351</v>
      </c>
      <c r="F49" s="906"/>
      <c r="G49" s="969" t="s">
        <v>352</v>
      </c>
      <c r="H49" s="270"/>
      <c r="J49" s="254">
        <v>23</v>
      </c>
    </row>
    <row r="50" spans="1:10" ht="24" customHeight="1">
      <c r="A50" s="10"/>
      <c r="B50" s="289"/>
      <c r="C50" s="10"/>
      <c r="D50" s="263"/>
      <c r="E50" s="110" t="s">
        <v>353</v>
      </c>
      <c r="F50" s="264"/>
      <c r="G50" s="969" t="s">
        <v>354</v>
      </c>
      <c r="H50" s="271"/>
      <c r="J50" s="254">
        <v>23</v>
      </c>
    </row>
    <row r="51" spans="1:10" ht="24" customHeight="1">
      <c r="A51" s="495"/>
      <c r="B51" s="289"/>
      <c r="C51" s="282"/>
      <c r="D51" s="247">
        <f>D45+1</f>
        <v>13</v>
      </c>
      <c r="E51" s="299" t="s">
        <v>355</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270"/>
      <c r="J51" s="254">
        <v>23</v>
      </c>
    </row>
    <row r="52" spans="1:10" ht="11.45" customHeight="1">
      <c r="A52" s="10"/>
      <c r="B52" s="289"/>
      <c r="C52" s="10"/>
      <c r="J52" s="254">
        <v>11</v>
      </c>
    </row>
    <row r="53" spans="1:10" s="258" customFormat="1" ht="31.5" customHeight="1">
      <c r="A53" s="4"/>
      <c r="B53" s="68"/>
      <c r="C53" s="1231"/>
      <c r="D53" s="123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1234"/>
      <c r="F53" s="1234"/>
      <c r="G53" s="1234"/>
      <c r="H53" s="92"/>
      <c r="I53" s="92"/>
      <c r="J53" s="258">
        <v>30</v>
      </c>
    </row>
    <row r="54" spans="1:10" s="258" customFormat="1" ht="42" customHeight="1">
      <c r="A54" s="10"/>
      <c r="B54" s="289"/>
      <c r="C54" s="1231"/>
      <c r="D54" s="123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1234"/>
      <c r="F54" s="1234"/>
      <c r="G54" s="1234"/>
      <c r="J54" s="258">
        <v>40</v>
      </c>
    </row>
    <row r="55" spans="1:10" ht="11.45" customHeight="1">
      <c r="D55" s="256"/>
      <c r="E55" s="257"/>
      <c r="F55" s="257"/>
      <c r="G55" s="257"/>
      <c r="J55" s="254">
        <v>11</v>
      </c>
    </row>
    <row r="56" spans="1:10" ht="28.5" customHeight="1">
      <c r="D56" s="259"/>
      <c r="E56" s="256"/>
      <c r="F56" s="266"/>
      <c r="G56" s="266"/>
      <c r="J56" s="254">
        <v>27</v>
      </c>
    </row>
    <row r="57" spans="1:10" ht="11.45" customHeight="1">
      <c r="D57" s="256"/>
      <c r="E57" s="256"/>
      <c r="F57" s="257"/>
      <c r="G57" s="257"/>
      <c r="J57" s="254">
        <v>11</v>
      </c>
    </row>
    <row r="58" spans="1:10" ht="40.9" customHeight="1">
      <c r="D58" s="260"/>
      <c r="E58" s="267"/>
      <c r="F58" s="267"/>
      <c r="G58" s="267"/>
      <c r="J58" s="254">
        <v>39</v>
      </c>
    </row>
    <row r="59" spans="1:10" ht="28.5" customHeight="1">
      <c r="D59" s="260"/>
      <c r="E59" s="267"/>
      <c r="F59" s="267"/>
      <c r="G59" s="267"/>
      <c r="J59" s="254">
        <v>27</v>
      </c>
    </row>
    <row r="60" spans="1:10" ht="11.25" hidden="1" customHeight="1">
      <c r="A60" s="7" t="s">
        <v>82</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BB104-FA13-0933-8C5F-A0353DA1362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FE6EB-2EFA-6069-23B6-E391640435E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32887-372F-4B67-14E2-5CB4233E59A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5932-D332-C79D-EDE2-A9A38743AEA7}">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096" t="s">
        <v>2236</v>
      </c>
      <c r="B1" s="1097" t="s">
        <v>2237</v>
      </c>
      <c r="C1" s="1556" t="s">
        <v>2238</v>
      </c>
      <c r="D1" s="1557"/>
      <c r="E1" s="436" t="s">
        <v>2239</v>
      </c>
    </row>
    <row r="2" spans="1:5" ht="11.25" customHeight="1">
      <c r="A2" s="1098"/>
      <c r="B2" s="439" t="s">
        <v>27</v>
      </c>
      <c r="C2" s="436"/>
      <c r="D2" s="438"/>
      <c r="E2" s="436"/>
    </row>
    <row r="3" spans="1:5" ht="11.25" customHeight="1">
      <c r="A3" s="1099"/>
      <c r="B3" s="1100" t="s">
        <v>33</v>
      </c>
      <c r="C3" s="436"/>
      <c r="D3" s="438"/>
      <c r="E3" s="436"/>
    </row>
    <row r="4" spans="1:5" ht="11.25" customHeight="1">
      <c r="A4" s="1101"/>
      <c r="B4" s="440" t="s">
        <v>1664</v>
      </c>
      <c r="C4" s="436"/>
      <c r="D4" s="438"/>
      <c r="E4" s="436"/>
    </row>
    <row r="5" spans="1:5" ht="11.25" customHeight="1">
      <c r="A5" s="1102"/>
      <c r="B5" s="440" t="s">
        <v>1658</v>
      </c>
      <c r="C5" s="1103" t="s">
        <v>2003</v>
      </c>
      <c r="D5" s="1104" t="s">
        <v>2240</v>
      </c>
      <c r="E5" s="436"/>
    </row>
    <row r="6" spans="1:5" ht="11.25" customHeight="1">
      <c r="A6" s="1105"/>
      <c r="B6" s="440" t="s">
        <v>1668</v>
      </c>
      <c r="C6" s="436"/>
      <c r="D6" s="438"/>
      <c r="E6" s="436"/>
    </row>
    <row r="7" spans="1:5" ht="11.25" customHeight="1">
      <c r="A7" s="1106"/>
      <c r="B7" s="440" t="s">
        <v>1676</v>
      </c>
      <c r="C7" s="436"/>
      <c r="D7" s="438"/>
      <c r="E7" s="436"/>
    </row>
    <row r="8" spans="1:5" ht="11.25" customHeight="1">
      <c r="A8" s="437"/>
      <c r="B8" s="440" t="s">
        <v>1671</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F9155-7895-E723-9B85-1E8BCE461B2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5E69C-1AEB-19A3-37B8-2A479FFE926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EA986-58DB-F33C-CF95-DC7D4E6CC22F}">
  <sheetPr>
    <tabColor rgb="FFFFCC99"/>
  </sheetPr>
  <dimension ref="A1:I712"/>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2241</v>
      </c>
      <c r="B1" t="s">
        <v>2242</v>
      </c>
      <c r="C1" t="s">
        <v>2243</v>
      </c>
      <c r="D1" t="s">
        <v>2244</v>
      </c>
      <c r="E1" t="s">
        <v>2245</v>
      </c>
      <c r="F1" t="s">
        <v>2246</v>
      </c>
      <c r="G1" t="s">
        <v>2247</v>
      </c>
      <c r="H1" t="s">
        <v>2248</v>
      </c>
      <c r="I1" t="s">
        <v>2249</v>
      </c>
    </row>
    <row r="2" spans="1:9" ht="11.25" customHeight="1">
      <c r="A2" t="s">
        <v>2250</v>
      </c>
      <c r="B2" t="s">
        <v>16</v>
      </c>
      <c r="C2" t="s">
        <v>2251</v>
      </c>
      <c r="D2" t="s">
        <v>2252</v>
      </c>
      <c r="E2" t="s">
        <v>2253</v>
      </c>
      <c r="F2" t="s">
        <v>2254</v>
      </c>
      <c r="G2" t="s">
        <v>22</v>
      </c>
      <c r="H2" t="s">
        <v>22</v>
      </c>
      <c r="I2" t="s">
        <v>811</v>
      </c>
    </row>
    <row r="3" spans="1:9" ht="11.25" customHeight="1">
      <c r="A3" t="s">
        <v>2250</v>
      </c>
      <c r="B3" t="s">
        <v>16</v>
      </c>
      <c r="C3" t="s">
        <v>2255</v>
      </c>
      <c r="D3" t="s">
        <v>2256</v>
      </c>
      <c r="E3" t="s">
        <v>2257</v>
      </c>
      <c r="F3" t="s">
        <v>2258</v>
      </c>
      <c r="G3" t="s">
        <v>22</v>
      </c>
      <c r="H3" t="s">
        <v>22</v>
      </c>
      <c r="I3" t="s">
        <v>811</v>
      </c>
    </row>
    <row r="4" spans="1:9" ht="11.25" customHeight="1">
      <c r="A4" t="s">
        <v>2250</v>
      </c>
      <c r="B4" t="s">
        <v>16</v>
      </c>
      <c r="C4" t="s">
        <v>2259</v>
      </c>
      <c r="D4" t="s">
        <v>2260</v>
      </c>
      <c r="E4" t="s">
        <v>2261</v>
      </c>
      <c r="F4" t="s">
        <v>2262</v>
      </c>
      <c r="G4" t="s">
        <v>22</v>
      </c>
      <c r="H4" t="s">
        <v>22</v>
      </c>
      <c r="I4" t="s">
        <v>811</v>
      </c>
    </row>
    <row r="5" spans="1:9" ht="11.25" customHeight="1">
      <c r="A5" t="s">
        <v>2250</v>
      </c>
      <c r="B5" t="s">
        <v>16</v>
      </c>
      <c r="C5" t="s">
        <v>2263</v>
      </c>
      <c r="D5" t="s">
        <v>2264</v>
      </c>
      <c r="E5" t="s">
        <v>2265</v>
      </c>
      <c r="F5" t="s">
        <v>2258</v>
      </c>
      <c r="G5" t="s">
        <v>22</v>
      </c>
      <c r="H5" t="s">
        <v>22</v>
      </c>
      <c r="I5" t="s">
        <v>811</v>
      </c>
    </row>
    <row r="6" spans="1:9" ht="11.25" customHeight="1">
      <c r="A6" t="s">
        <v>2250</v>
      </c>
      <c r="B6" t="s">
        <v>16</v>
      </c>
      <c r="C6" t="s">
        <v>2266</v>
      </c>
      <c r="D6" t="s">
        <v>2267</v>
      </c>
      <c r="E6" t="s">
        <v>2268</v>
      </c>
      <c r="F6" t="s">
        <v>2269</v>
      </c>
      <c r="G6" t="s">
        <v>22</v>
      </c>
      <c r="H6" t="s">
        <v>22</v>
      </c>
      <c r="I6" t="s">
        <v>811</v>
      </c>
    </row>
    <row r="7" spans="1:9" ht="11.25" customHeight="1">
      <c r="A7" t="s">
        <v>2250</v>
      </c>
      <c r="B7" t="s">
        <v>16</v>
      </c>
      <c r="C7" t="s">
        <v>2270</v>
      </c>
      <c r="D7" t="s">
        <v>2271</v>
      </c>
      <c r="E7" t="s">
        <v>2272</v>
      </c>
      <c r="F7" t="s">
        <v>2273</v>
      </c>
      <c r="G7" t="s">
        <v>22</v>
      </c>
      <c r="H7" t="s">
        <v>22</v>
      </c>
      <c r="I7" t="s">
        <v>811</v>
      </c>
    </row>
    <row r="8" spans="1:9" ht="11.25" customHeight="1">
      <c r="A8" t="s">
        <v>2250</v>
      </c>
      <c r="B8" t="s">
        <v>16</v>
      </c>
      <c r="C8" t="s">
        <v>2274</v>
      </c>
      <c r="D8" t="s">
        <v>2275</v>
      </c>
      <c r="E8" t="s">
        <v>2276</v>
      </c>
      <c r="F8" t="s">
        <v>2277</v>
      </c>
      <c r="G8" t="s">
        <v>2278</v>
      </c>
      <c r="H8" t="s">
        <v>22</v>
      </c>
      <c r="I8" t="s">
        <v>811</v>
      </c>
    </row>
    <row r="9" spans="1:9" ht="11.25" customHeight="1">
      <c r="A9" t="s">
        <v>2250</v>
      </c>
      <c r="B9" t="s">
        <v>16</v>
      </c>
      <c r="C9" t="s">
        <v>2279</v>
      </c>
      <c r="D9" t="s">
        <v>2280</v>
      </c>
      <c r="E9" t="s">
        <v>2281</v>
      </c>
      <c r="F9" t="s">
        <v>2282</v>
      </c>
      <c r="G9" t="s">
        <v>22</v>
      </c>
      <c r="H9" t="s">
        <v>22</v>
      </c>
      <c r="I9" t="s">
        <v>811</v>
      </c>
    </row>
    <row r="10" spans="1:9" ht="11.25" customHeight="1">
      <c r="A10" t="s">
        <v>2250</v>
      </c>
      <c r="B10" t="s">
        <v>16</v>
      </c>
      <c r="C10" t="s">
        <v>2283</v>
      </c>
      <c r="D10" t="s">
        <v>2284</v>
      </c>
      <c r="E10" t="s">
        <v>2285</v>
      </c>
      <c r="F10" t="s">
        <v>2286</v>
      </c>
      <c r="G10" t="s">
        <v>22</v>
      </c>
      <c r="H10" t="s">
        <v>22</v>
      </c>
      <c r="I10" t="s">
        <v>811</v>
      </c>
    </row>
    <row r="11" spans="1:9" ht="11.25" customHeight="1">
      <c r="A11" t="s">
        <v>2250</v>
      </c>
      <c r="B11" t="s">
        <v>16</v>
      </c>
      <c r="C11" t="s">
        <v>2287</v>
      </c>
      <c r="D11" t="s">
        <v>2288</v>
      </c>
      <c r="E11" t="s">
        <v>2289</v>
      </c>
      <c r="F11" t="s">
        <v>2290</v>
      </c>
      <c r="G11" t="s">
        <v>22</v>
      </c>
      <c r="H11" t="s">
        <v>22</v>
      </c>
      <c r="I11" t="s">
        <v>811</v>
      </c>
    </row>
    <row r="12" spans="1:9" ht="11.25" customHeight="1">
      <c r="A12" t="s">
        <v>2250</v>
      </c>
      <c r="B12" t="s">
        <v>16</v>
      </c>
      <c r="C12" t="s">
        <v>2291</v>
      </c>
      <c r="D12" t="s">
        <v>2292</v>
      </c>
      <c r="E12" t="s">
        <v>2293</v>
      </c>
      <c r="F12" t="s">
        <v>2294</v>
      </c>
      <c r="G12" t="s">
        <v>22</v>
      </c>
      <c r="H12" t="s">
        <v>22</v>
      </c>
      <c r="I12" t="s">
        <v>811</v>
      </c>
    </row>
    <row r="13" spans="1:9" ht="11.25" customHeight="1">
      <c r="A13" t="s">
        <v>2250</v>
      </c>
      <c r="B13" t="s">
        <v>16</v>
      </c>
      <c r="C13" t="s">
        <v>2295</v>
      </c>
      <c r="D13" t="s">
        <v>2292</v>
      </c>
      <c r="E13" t="s">
        <v>2293</v>
      </c>
      <c r="F13" t="s">
        <v>2296</v>
      </c>
      <c r="G13" t="s">
        <v>2297</v>
      </c>
      <c r="H13" t="s">
        <v>22</v>
      </c>
      <c r="I13" t="s">
        <v>811</v>
      </c>
    </row>
    <row r="14" spans="1:9" ht="11.25" customHeight="1">
      <c r="A14" t="s">
        <v>2250</v>
      </c>
      <c r="B14" t="s">
        <v>16</v>
      </c>
      <c r="C14" t="s">
        <v>2298</v>
      </c>
      <c r="D14" t="s">
        <v>2292</v>
      </c>
      <c r="E14" t="s">
        <v>2293</v>
      </c>
      <c r="F14" t="s">
        <v>2299</v>
      </c>
      <c r="G14" t="s">
        <v>22</v>
      </c>
      <c r="H14" t="s">
        <v>22</v>
      </c>
      <c r="I14" t="s">
        <v>811</v>
      </c>
    </row>
    <row r="15" spans="1:9" ht="11.25" customHeight="1">
      <c r="A15" t="s">
        <v>2250</v>
      </c>
      <c r="B15" t="s">
        <v>16</v>
      </c>
      <c r="C15" t="s">
        <v>2300</v>
      </c>
      <c r="D15" t="s">
        <v>2301</v>
      </c>
      <c r="E15" t="s">
        <v>2302</v>
      </c>
      <c r="F15" t="s">
        <v>2303</v>
      </c>
      <c r="G15" t="s">
        <v>22</v>
      </c>
      <c r="H15" t="s">
        <v>22</v>
      </c>
      <c r="I15" t="s">
        <v>811</v>
      </c>
    </row>
    <row r="16" spans="1:9" ht="11.25" customHeight="1">
      <c r="A16" t="s">
        <v>2250</v>
      </c>
      <c r="B16" t="s">
        <v>16</v>
      </c>
      <c r="C16" t="s">
        <v>2304</v>
      </c>
      <c r="D16" t="s">
        <v>2305</v>
      </c>
      <c r="E16" t="s">
        <v>2306</v>
      </c>
      <c r="F16" t="s">
        <v>2307</v>
      </c>
      <c r="G16" t="s">
        <v>22</v>
      </c>
      <c r="H16" t="s">
        <v>22</v>
      </c>
      <c r="I16" t="s">
        <v>811</v>
      </c>
    </row>
    <row r="17" spans="1:9" ht="11.25" customHeight="1">
      <c r="A17" t="s">
        <v>2250</v>
      </c>
      <c r="B17" t="s">
        <v>16</v>
      </c>
      <c r="C17" t="s">
        <v>2308</v>
      </c>
      <c r="D17" t="s">
        <v>2309</v>
      </c>
      <c r="E17" t="s">
        <v>2310</v>
      </c>
      <c r="F17" t="s">
        <v>2311</v>
      </c>
      <c r="G17" t="s">
        <v>22</v>
      </c>
      <c r="H17" t="s">
        <v>22</v>
      </c>
      <c r="I17" t="s">
        <v>811</v>
      </c>
    </row>
    <row r="18" spans="1:9" ht="11.25" customHeight="1">
      <c r="A18" t="s">
        <v>2250</v>
      </c>
      <c r="B18" t="s">
        <v>16</v>
      </c>
      <c r="C18" t="s">
        <v>2312</v>
      </c>
      <c r="D18" t="s">
        <v>2313</v>
      </c>
      <c r="E18" t="s">
        <v>2314</v>
      </c>
      <c r="F18" t="s">
        <v>2311</v>
      </c>
      <c r="G18" t="s">
        <v>22</v>
      </c>
      <c r="H18" t="s">
        <v>22</v>
      </c>
      <c r="I18" t="s">
        <v>811</v>
      </c>
    </row>
    <row r="19" spans="1:9" ht="11.25" customHeight="1">
      <c r="A19" t="s">
        <v>2250</v>
      </c>
      <c r="B19" t="s">
        <v>16</v>
      </c>
      <c r="C19" t="s">
        <v>2315</v>
      </c>
      <c r="D19" t="s">
        <v>2316</v>
      </c>
      <c r="E19" t="s">
        <v>2317</v>
      </c>
      <c r="F19" t="s">
        <v>2318</v>
      </c>
      <c r="G19" t="s">
        <v>22</v>
      </c>
      <c r="H19" t="s">
        <v>22</v>
      </c>
      <c r="I19" t="s">
        <v>811</v>
      </c>
    </row>
    <row r="20" spans="1:9" ht="11.25" customHeight="1">
      <c r="A20" t="s">
        <v>2250</v>
      </c>
      <c r="B20" t="s">
        <v>16</v>
      </c>
      <c r="C20" t="s">
        <v>2319</v>
      </c>
      <c r="D20" t="s">
        <v>2320</v>
      </c>
      <c r="E20" t="s">
        <v>2321</v>
      </c>
      <c r="F20" t="s">
        <v>2322</v>
      </c>
      <c r="G20" t="s">
        <v>22</v>
      </c>
      <c r="H20" t="s">
        <v>22</v>
      </c>
      <c r="I20" t="s">
        <v>811</v>
      </c>
    </row>
    <row r="21" spans="1:9" ht="11.25" customHeight="1">
      <c r="A21" t="s">
        <v>2250</v>
      </c>
      <c r="B21" t="s">
        <v>16</v>
      </c>
      <c r="C21" t="s">
        <v>2323</v>
      </c>
      <c r="D21" t="s">
        <v>2324</v>
      </c>
      <c r="E21" t="s">
        <v>2325</v>
      </c>
      <c r="F21" t="s">
        <v>2326</v>
      </c>
      <c r="G21" t="s">
        <v>22</v>
      </c>
      <c r="H21" t="s">
        <v>22</v>
      </c>
      <c r="I21" t="s">
        <v>811</v>
      </c>
    </row>
    <row r="22" spans="1:9" ht="11.25" customHeight="1">
      <c r="A22" t="s">
        <v>2250</v>
      </c>
      <c r="B22" t="s">
        <v>16</v>
      </c>
      <c r="C22" t="s">
        <v>2327</v>
      </c>
      <c r="D22" t="s">
        <v>2328</v>
      </c>
      <c r="E22" t="s">
        <v>2329</v>
      </c>
      <c r="F22" t="s">
        <v>2330</v>
      </c>
      <c r="G22" t="s">
        <v>22</v>
      </c>
      <c r="H22" t="s">
        <v>22</v>
      </c>
      <c r="I22" t="s">
        <v>811</v>
      </c>
    </row>
    <row r="23" spans="1:9" ht="11.25" customHeight="1">
      <c r="A23" t="s">
        <v>2250</v>
      </c>
      <c r="B23" t="s">
        <v>16</v>
      </c>
      <c r="C23" t="s">
        <v>2331</v>
      </c>
      <c r="D23" t="s">
        <v>2332</v>
      </c>
      <c r="E23" t="s">
        <v>2333</v>
      </c>
      <c r="F23" t="s">
        <v>2326</v>
      </c>
      <c r="G23" t="s">
        <v>22</v>
      </c>
      <c r="H23" t="s">
        <v>22</v>
      </c>
      <c r="I23" t="s">
        <v>811</v>
      </c>
    </row>
    <row r="24" spans="1:9" ht="11.25" customHeight="1">
      <c r="A24" t="s">
        <v>2250</v>
      </c>
      <c r="B24" t="s">
        <v>16</v>
      </c>
      <c r="C24" t="s">
        <v>2334</v>
      </c>
      <c r="D24" t="s">
        <v>2335</v>
      </c>
      <c r="E24" t="s">
        <v>2336</v>
      </c>
      <c r="F24" t="s">
        <v>2337</v>
      </c>
      <c r="G24" t="s">
        <v>22</v>
      </c>
      <c r="H24" t="s">
        <v>22</v>
      </c>
      <c r="I24" t="s">
        <v>811</v>
      </c>
    </row>
    <row r="25" spans="1:9" ht="11.25" customHeight="1">
      <c r="A25" t="s">
        <v>2250</v>
      </c>
      <c r="B25" t="s">
        <v>16</v>
      </c>
      <c r="C25" t="s">
        <v>2338</v>
      </c>
      <c r="D25" t="s">
        <v>2339</v>
      </c>
      <c r="E25" t="s">
        <v>2340</v>
      </c>
      <c r="F25" t="s">
        <v>2341</v>
      </c>
      <c r="G25" t="s">
        <v>22</v>
      </c>
      <c r="H25" t="s">
        <v>22</v>
      </c>
      <c r="I25" t="s">
        <v>811</v>
      </c>
    </row>
    <row r="26" spans="1:9" ht="11.25" customHeight="1">
      <c r="A26" t="s">
        <v>2250</v>
      </c>
      <c r="B26" t="s">
        <v>16</v>
      </c>
      <c r="C26" t="s">
        <v>2342</v>
      </c>
      <c r="D26" t="s">
        <v>2343</v>
      </c>
      <c r="E26" t="s">
        <v>2344</v>
      </c>
      <c r="F26" t="s">
        <v>2326</v>
      </c>
      <c r="G26" t="s">
        <v>22</v>
      </c>
      <c r="H26" t="s">
        <v>22</v>
      </c>
      <c r="I26" t="s">
        <v>811</v>
      </c>
    </row>
    <row r="27" spans="1:9" ht="11.25" customHeight="1">
      <c r="A27" t="s">
        <v>2250</v>
      </c>
      <c r="B27" t="s">
        <v>16</v>
      </c>
      <c r="C27" t="s">
        <v>2345</v>
      </c>
      <c r="D27" t="s">
        <v>2346</v>
      </c>
      <c r="E27" t="s">
        <v>2347</v>
      </c>
      <c r="F27" t="s">
        <v>2348</v>
      </c>
      <c r="G27" t="s">
        <v>22</v>
      </c>
      <c r="H27" t="s">
        <v>22</v>
      </c>
      <c r="I27" t="s">
        <v>811</v>
      </c>
    </row>
    <row r="28" spans="1:9" ht="11.25" customHeight="1">
      <c r="A28" t="s">
        <v>2250</v>
      </c>
      <c r="B28" t="s">
        <v>16</v>
      </c>
      <c r="C28" t="s">
        <v>2349</v>
      </c>
      <c r="D28" t="s">
        <v>2350</v>
      </c>
      <c r="E28" t="s">
        <v>2351</v>
      </c>
      <c r="F28" t="s">
        <v>2330</v>
      </c>
      <c r="G28" t="s">
        <v>22</v>
      </c>
      <c r="H28" t="s">
        <v>22</v>
      </c>
      <c r="I28" t="s">
        <v>811</v>
      </c>
    </row>
    <row r="29" spans="1:9" ht="11.25" customHeight="1">
      <c r="A29" t="s">
        <v>2250</v>
      </c>
      <c r="B29" t="s">
        <v>16</v>
      </c>
      <c r="C29" t="s">
        <v>2352</v>
      </c>
      <c r="D29" t="s">
        <v>2353</v>
      </c>
      <c r="E29" t="s">
        <v>2354</v>
      </c>
      <c r="F29" t="s">
        <v>2355</v>
      </c>
      <c r="G29" t="s">
        <v>22</v>
      </c>
      <c r="H29" t="s">
        <v>22</v>
      </c>
      <c r="I29" t="s">
        <v>811</v>
      </c>
    </row>
    <row r="30" spans="1:9" ht="11.25" customHeight="1">
      <c r="A30" t="s">
        <v>2250</v>
      </c>
      <c r="B30" t="s">
        <v>16</v>
      </c>
      <c r="C30" t="s">
        <v>2356</v>
      </c>
      <c r="D30" t="s">
        <v>2357</v>
      </c>
      <c r="E30" t="s">
        <v>2358</v>
      </c>
      <c r="F30" t="s">
        <v>2326</v>
      </c>
      <c r="G30" t="s">
        <v>22</v>
      </c>
      <c r="H30" t="s">
        <v>22</v>
      </c>
      <c r="I30" t="s">
        <v>811</v>
      </c>
    </row>
    <row r="31" spans="1:9" ht="11.25" customHeight="1">
      <c r="A31" t="s">
        <v>2250</v>
      </c>
      <c r="B31" t="s">
        <v>16</v>
      </c>
      <c r="C31" t="s">
        <v>2359</v>
      </c>
      <c r="D31" t="s">
        <v>2360</v>
      </c>
      <c r="E31" t="s">
        <v>2361</v>
      </c>
      <c r="F31" t="s">
        <v>2362</v>
      </c>
      <c r="G31" t="s">
        <v>22</v>
      </c>
      <c r="H31" t="s">
        <v>22</v>
      </c>
      <c r="I31" t="s">
        <v>811</v>
      </c>
    </row>
    <row r="32" spans="1:9" ht="11.25" customHeight="1">
      <c r="A32" t="s">
        <v>2250</v>
      </c>
      <c r="B32" t="s">
        <v>16</v>
      </c>
      <c r="C32" t="s">
        <v>2363</v>
      </c>
      <c r="D32" t="s">
        <v>2364</v>
      </c>
      <c r="E32" t="s">
        <v>2365</v>
      </c>
      <c r="F32" t="s">
        <v>2366</v>
      </c>
      <c r="G32" t="s">
        <v>22</v>
      </c>
      <c r="H32" t="s">
        <v>22</v>
      </c>
      <c r="I32" t="s">
        <v>811</v>
      </c>
    </row>
    <row r="33" spans="1:9" ht="11.25" customHeight="1">
      <c r="A33" t="s">
        <v>2250</v>
      </c>
      <c r="B33" t="s">
        <v>16</v>
      </c>
      <c r="C33" t="s">
        <v>2367</v>
      </c>
      <c r="D33" t="s">
        <v>2368</v>
      </c>
      <c r="E33" t="s">
        <v>2369</v>
      </c>
      <c r="F33" t="s">
        <v>2370</v>
      </c>
      <c r="G33" t="s">
        <v>22</v>
      </c>
      <c r="H33" t="s">
        <v>22</v>
      </c>
      <c r="I33" t="s">
        <v>811</v>
      </c>
    </row>
    <row r="34" spans="1:9" ht="11.25" customHeight="1">
      <c r="A34" t="s">
        <v>2250</v>
      </c>
      <c r="B34" t="s">
        <v>16</v>
      </c>
      <c r="C34" t="s">
        <v>2371</v>
      </c>
      <c r="D34" t="s">
        <v>2372</v>
      </c>
      <c r="E34" t="s">
        <v>2373</v>
      </c>
      <c r="F34" t="s">
        <v>2303</v>
      </c>
      <c r="G34" t="s">
        <v>22</v>
      </c>
      <c r="H34" t="s">
        <v>22</v>
      </c>
      <c r="I34" t="s">
        <v>811</v>
      </c>
    </row>
    <row r="35" spans="1:9" ht="11.25" customHeight="1">
      <c r="A35" t="s">
        <v>2250</v>
      </c>
      <c r="B35" t="s">
        <v>16</v>
      </c>
      <c r="C35" t="s">
        <v>2374</v>
      </c>
      <c r="D35" t="s">
        <v>2375</v>
      </c>
      <c r="E35" t="s">
        <v>2376</v>
      </c>
      <c r="F35" t="s">
        <v>2362</v>
      </c>
      <c r="G35" t="s">
        <v>2377</v>
      </c>
      <c r="H35" t="s">
        <v>22</v>
      </c>
      <c r="I35" t="s">
        <v>811</v>
      </c>
    </row>
    <row r="36" spans="1:9" ht="11.25" customHeight="1">
      <c r="A36" t="s">
        <v>2250</v>
      </c>
      <c r="B36" t="s">
        <v>16</v>
      </c>
      <c r="C36" t="s">
        <v>2378</v>
      </c>
      <c r="D36" t="s">
        <v>2379</v>
      </c>
      <c r="E36" t="s">
        <v>2380</v>
      </c>
      <c r="F36" t="s">
        <v>2381</v>
      </c>
      <c r="G36" t="s">
        <v>22</v>
      </c>
      <c r="H36" t="s">
        <v>22</v>
      </c>
      <c r="I36" t="s">
        <v>811</v>
      </c>
    </row>
    <row r="37" spans="1:9" ht="11.25" customHeight="1">
      <c r="A37" t="s">
        <v>2250</v>
      </c>
      <c r="B37" t="s">
        <v>16</v>
      </c>
      <c r="C37" t="s">
        <v>2382</v>
      </c>
      <c r="D37" t="s">
        <v>2383</v>
      </c>
      <c r="E37" t="s">
        <v>2384</v>
      </c>
      <c r="F37" t="s">
        <v>2326</v>
      </c>
      <c r="G37" t="s">
        <v>22</v>
      </c>
      <c r="H37" t="s">
        <v>22</v>
      </c>
      <c r="I37" t="s">
        <v>811</v>
      </c>
    </row>
    <row r="38" spans="1:9" ht="11.25" customHeight="1">
      <c r="A38" t="s">
        <v>2250</v>
      </c>
      <c r="B38" t="s">
        <v>16</v>
      </c>
      <c r="C38" t="s">
        <v>2385</v>
      </c>
      <c r="D38" t="s">
        <v>2386</v>
      </c>
      <c r="E38" t="s">
        <v>2387</v>
      </c>
      <c r="F38" t="s">
        <v>2388</v>
      </c>
      <c r="G38" t="s">
        <v>22</v>
      </c>
      <c r="H38" t="s">
        <v>22</v>
      </c>
      <c r="I38" t="s">
        <v>811</v>
      </c>
    </row>
    <row r="39" spans="1:9" ht="11.25" customHeight="1">
      <c r="A39" t="s">
        <v>2250</v>
      </c>
      <c r="B39" t="s">
        <v>16</v>
      </c>
      <c r="C39" t="s">
        <v>2389</v>
      </c>
      <c r="D39" t="s">
        <v>2390</v>
      </c>
      <c r="E39" t="s">
        <v>2391</v>
      </c>
      <c r="F39" t="s">
        <v>2370</v>
      </c>
      <c r="G39" t="s">
        <v>22</v>
      </c>
      <c r="H39" t="s">
        <v>22</v>
      </c>
      <c r="I39" t="s">
        <v>811</v>
      </c>
    </row>
    <row r="40" spans="1:9" ht="11.25" customHeight="1">
      <c r="A40" t="s">
        <v>2250</v>
      </c>
      <c r="B40" t="s">
        <v>16</v>
      </c>
      <c r="C40" t="s">
        <v>2392</v>
      </c>
      <c r="D40" t="s">
        <v>2393</v>
      </c>
      <c r="E40" t="s">
        <v>2394</v>
      </c>
      <c r="F40" t="s">
        <v>2286</v>
      </c>
      <c r="G40" t="s">
        <v>2395</v>
      </c>
      <c r="H40" t="s">
        <v>22</v>
      </c>
      <c r="I40" t="s">
        <v>811</v>
      </c>
    </row>
    <row r="41" spans="1:9" ht="11.25" customHeight="1">
      <c r="A41" t="s">
        <v>2250</v>
      </c>
      <c r="B41" t="s">
        <v>16</v>
      </c>
      <c r="C41" t="s">
        <v>2396</v>
      </c>
      <c r="D41" t="s">
        <v>2397</v>
      </c>
      <c r="E41" t="s">
        <v>2398</v>
      </c>
      <c r="F41" t="s">
        <v>2399</v>
      </c>
      <c r="G41" t="s">
        <v>22</v>
      </c>
      <c r="H41" t="s">
        <v>22</v>
      </c>
      <c r="I41" t="s">
        <v>811</v>
      </c>
    </row>
    <row r="42" spans="1:9" ht="11.25" customHeight="1">
      <c r="A42" t="s">
        <v>2250</v>
      </c>
      <c r="B42" t="s">
        <v>16</v>
      </c>
      <c r="C42" t="s">
        <v>2400</v>
      </c>
      <c r="D42" t="s">
        <v>2401</v>
      </c>
      <c r="E42" t="s">
        <v>2402</v>
      </c>
      <c r="F42" t="s">
        <v>2254</v>
      </c>
      <c r="G42" t="s">
        <v>2403</v>
      </c>
      <c r="H42" t="s">
        <v>22</v>
      </c>
      <c r="I42" t="s">
        <v>811</v>
      </c>
    </row>
    <row r="43" spans="1:9" ht="11.25" customHeight="1">
      <c r="A43" t="s">
        <v>2250</v>
      </c>
      <c r="B43" t="s">
        <v>16</v>
      </c>
      <c r="C43" t="s">
        <v>2404</v>
      </c>
      <c r="D43" t="s">
        <v>2405</v>
      </c>
      <c r="E43" t="s">
        <v>2406</v>
      </c>
      <c r="F43" t="s">
        <v>2337</v>
      </c>
      <c r="G43" t="s">
        <v>22</v>
      </c>
      <c r="H43" t="s">
        <v>22</v>
      </c>
      <c r="I43" t="s">
        <v>811</v>
      </c>
    </row>
    <row r="44" spans="1:9" ht="11.25" customHeight="1">
      <c r="A44" t="s">
        <v>2250</v>
      </c>
      <c r="B44" t="s">
        <v>16</v>
      </c>
      <c r="C44" t="s">
        <v>2407</v>
      </c>
      <c r="D44" t="s">
        <v>2408</v>
      </c>
      <c r="E44" t="s">
        <v>2409</v>
      </c>
      <c r="F44" t="s">
        <v>2410</v>
      </c>
      <c r="G44" t="s">
        <v>22</v>
      </c>
      <c r="H44" t="s">
        <v>22</v>
      </c>
      <c r="I44" t="s">
        <v>811</v>
      </c>
    </row>
    <row r="45" spans="1:9" ht="11.25" customHeight="1">
      <c r="A45" t="s">
        <v>2250</v>
      </c>
      <c r="B45" t="s">
        <v>16</v>
      </c>
      <c r="C45" t="s">
        <v>2411</v>
      </c>
      <c r="D45" t="s">
        <v>2412</v>
      </c>
      <c r="E45" t="s">
        <v>2413</v>
      </c>
      <c r="F45" t="s">
        <v>2254</v>
      </c>
      <c r="G45" t="s">
        <v>22</v>
      </c>
      <c r="H45" t="s">
        <v>22</v>
      </c>
      <c r="I45" t="s">
        <v>811</v>
      </c>
    </row>
    <row r="46" spans="1:9" ht="11.25" customHeight="1">
      <c r="A46" t="s">
        <v>2250</v>
      </c>
      <c r="B46" t="s">
        <v>16</v>
      </c>
      <c r="C46" t="s">
        <v>2414</v>
      </c>
      <c r="D46" t="s">
        <v>2415</v>
      </c>
      <c r="E46" t="s">
        <v>2416</v>
      </c>
      <c r="F46" t="s">
        <v>2417</v>
      </c>
      <c r="G46" t="s">
        <v>22</v>
      </c>
      <c r="H46" t="s">
        <v>22</v>
      </c>
      <c r="I46" t="s">
        <v>811</v>
      </c>
    </row>
    <row r="47" spans="1:9" ht="11.25" customHeight="1">
      <c r="A47" t="s">
        <v>2250</v>
      </c>
      <c r="B47" t="s">
        <v>16</v>
      </c>
      <c r="C47" t="s">
        <v>2418</v>
      </c>
      <c r="D47" t="s">
        <v>2419</v>
      </c>
      <c r="E47" t="s">
        <v>2420</v>
      </c>
      <c r="F47" t="s">
        <v>2388</v>
      </c>
      <c r="G47" t="s">
        <v>22</v>
      </c>
      <c r="H47" t="s">
        <v>22</v>
      </c>
      <c r="I47" t="s">
        <v>811</v>
      </c>
    </row>
    <row r="48" spans="1:9" ht="11.25" customHeight="1">
      <c r="A48" t="s">
        <v>2250</v>
      </c>
      <c r="B48" t="s">
        <v>16</v>
      </c>
      <c r="C48" t="s">
        <v>2421</v>
      </c>
      <c r="D48" t="s">
        <v>2422</v>
      </c>
      <c r="E48" t="s">
        <v>2423</v>
      </c>
      <c r="F48" t="s">
        <v>2311</v>
      </c>
      <c r="G48" t="s">
        <v>22</v>
      </c>
      <c r="H48" t="s">
        <v>22</v>
      </c>
      <c r="I48" t="s">
        <v>811</v>
      </c>
    </row>
    <row r="49" spans="1:9" ht="11.25" customHeight="1">
      <c r="A49" t="s">
        <v>2250</v>
      </c>
      <c r="B49" t="s">
        <v>16</v>
      </c>
      <c r="C49" t="s">
        <v>2424</v>
      </c>
      <c r="D49" t="s">
        <v>2425</v>
      </c>
      <c r="E49" t="s">
        <v>2426</v>
      </c>
      <c r="F49" t="s">
        <v>2427</v>
      </c>
      <c r="G49" t="s">
        <v>22</v>
      </c>
      <c r="H49" t="s">
        <v>22</v>
      </c>
      <c r="I49" t="s">
        <v>811</v>
      </c>
    </row>
    <row r="50" spans="1:9" ht="11.25" customHeight="1">
      <c r="A50" t="s">
        <v>2250</v>
      </c>
      <c r="B50" t="s">
        <v>16</v>
      </c>
      <c r="C50" t="s">
        <v>2428</v>
      </c>
      <c r="D50" t="s">
        <v>2429</v>
      </c>
      <c r="E50" t="s">
        <v>2413</v>
      </c>
      <c r="F50" t="s">
        <v>2430</v>
      </c>
      <c r="G50" t="s">
        <v>22</v>
      </c>
      <c r="H50" t="s">
        <v>22</v>
      </c>
      <c r="I50" t="s">
        <v>811</v>
      </c>
    </row>
    <row r="51" spans="1:9" ht="11.25" customHeight="1">
      <c r="A51" t="s">
        <v>2250</v>
      </c>
      <c r="B51" t="s">
        <v>16</v>
      </c>
      <c r="C51" t="s">
        <v>2431</v>
      </c>
      <c r="D51" t="s">
        <v>2432</v>
      </c>
      <c r="E51" t="s">
        <v>2433</v>
      </c>
      <c r="F51" t="s">
        <v>2434</v>
      </c>
      <c r="G51" t="s">
        <v>22</v>
      </c>
      <c r="H51" t="s">
        <v>22</v>
      </c>
      <c r="I51" t="s">
        <v>811</v>
      </c>
    </row>
    <row r="52" spans="1:9" ht="11.25" customHeight="1">
      <c r="A52" t="s">
        <v>2250</v>
      </c>
      <c r="B52" t="s">
        <v>16</v>
      </c>
      <c r="C52" t="s">
        <v>2435</v>
      </c>
      <c r="D52" t="s">
        <v>2436</v>
      </c>
      <c r="E52" t="s">
        <v>2437</v>
      </c>
      <c r="F52" t="s">
        <v>2330</v>
      </c>
      <c r="G52" t="s">
        <v>22</v>
      </c>
      <c r="H52" t="s">
        <v>22</v>
      </c>
      <c r="I52" t="s">
        <v>811</v>
      </c>
    </row>
    <row r="53" spans="1:9" ht="11.25" customHeight="1">
      <c r="A53" t="s">
        <v>2250</v>
      </c>
      <c r="B53" t="s">
        <v>16</v>
      </c>
      <c r="C53" t="s">
        <v>2438</v>
      </c>
      <c r="D53" t="s">
        <v>2439</v>
      </c>
      <c r="E53" t="s">
        <v>2440</v>
      </c>
      <c r="F53" t="s">
        <v>2326</v>
      </c>
      <c r="G53" t="s">
        <v>22</v>
      </c>
      <c r="H53" t="s">
        <v>22</v>
      </c>
      <c r="I53" t="s">
        <v>811</v>
      </c>
    </row>
    <row r="54" spans="1:9" ht="11.25" customHeight="1">
      <c r="A54" t="s">
        <v>2250</v>
      </c>
      <c r="B54" t="s">
        <v>16</v>
      </c>
      <c r="C54" t="s">
        <v>22</v>
      </c>
      <c r="D54" t="s">
        <v>2441</v>
      </c>
      <c r="E54" t="s">
        <v>2442</v>
      </c>
      <c r="F54" t="s">
        <v>2254</v>
      </c>
      <c r="G54" t="s">
        <v>22</v>
      </c>
      <c r="H54" t="s">
        <v>22</v>
      </c>
      <c r="I54" t="s">
        <v>811</v>
      </c>
    </row>
    <row r="55" spans="1:9" ht="11.25" customHeight="1">
      <c r="A55" t="s">
        <v>2250</v>
      </c>
      <c r="B55" t="s">
        <v>16</v>
      </c>
      <c r="C55" t="s">
        <v>2443</v>
      </c>
      <c r="D55" t="s">
        <v>2444</v>
      </c>
      <c r="E55" t="s">
        <v>2445</v>
      </c>
      <c r="F55" t="s">
        <v>2254</v>
      </c>
      <c r="G55" t="s">
        <v>22</v>
      </c>
      <c r="H55" t="s">
        <v>22</v>
      </c>
      <c r="I55" t="s">
        <v>811</v>
      </c>
    </row>
    <row r="56" spans="1:9" ht="11.25" customHeight="1">
      <c r="A56" t="s">
        <v>2250</v>
      </c>
      <c r="B56" t="s">
        <v>16</v>
      </c>
      <c r="C56" t="s">
        <v>2446</v>
      </c>
      <c r="D56" t="s">
        <v>2447</v>
      </c>
      <c r="E56" t="s">
        <v>2448</v>
      </c>
      <c r="F56" t="s">
        <v>2449</v>
      </c>
      <c r="G56" t="s">
        <v>22</v>
      </c>
      <c r="H56" t="s">
        <v>22</v>
      </c>
      <c r="I56" t="s">
        <v>811</v>
      </c>
    </row>
    <row r="57" spans="1:9" ht="11.25" customHeight="1">
      <c r="A57" t="s">
        <v>2250</v>
      </c>
      <c r="B57" t="s">
        <v>16</v>
      </c>
      <c r="C57" t="s">
        <v>2450</v>
      </c>
      <c r="D57" t="s">
        <v>2451</v>
      </c>
      <c r="E57" t="s">
        <v>2402</v>
      </c>
      <c r="F57" t="s">
        <v>2452</v>
      </c>
      <c r="G57" t="s">
        <v>22</v>
      </c>
      <c r="H57" t="s">
        <v>22</v>
      </c>
      <c r="I57" t="s">
        <v>811</v>
      </c>
    </row>
    <row r="58" spans="1:9" ht="11.25" customHeight="1">
      <c r="A58" t="s">
        <v>2250</v>
      </c>
      <c r="B58" t="s">
        <v>16</v>
      </c>
      <c r="C58" t="s">
        <v>2453</v>
      </c>
      <c r="D58" t="s">
        <v>2454</v>
      </c>
      <c r="E58" t="s">
        <v>2455</v>
      </c>
      <c r="F58" t="s">
        <v>2277</v>
      </c>
      <c r="G58" t="s">
        <v>22</v>
      </c>
      <c r="H58" t="s">
        <v>22</v>
      </c>
      <c r="I58" t="s">
        <v>811</v>
      </c>
    </row>
    <row r="59" spans="1:9" ht="11.25" customHeight="1">
      <c r="A59" t="s">
        <v>2250</v>
      </c>
      <c r="B59" t="s">
        <v>16</v>
      </c>
      <c r="C59" t="s">
        <v>2456</v>
      </c>
      <c r="D59" t="s">
        <v>2457</v>
      </c>
      <c r="E59" t="s">
        <v>2458</v>
      </c>
      <c r="F59" t="s">
        <v>2459</v>
      </c>
      <c r="G59" t="s">
        <v>22</v>
      </c>
      <c r="H59" t="s">
        <v>22</v>
      </c>
      <c r="I59" t="s">
        <v>811</v>
      </c>
    </row>
    <row r="60" spans="1:9" ht="11.25" customHeight="1">
      <c r="A60" t="s">
        <v>2250</v>
      </c>
      <c r="B60" t="s">
        <v>16</v>
      </c>
      <c r="C60" t="s">
        <v>2460</v>
      </c>
      <c r="D60" t="s">
        <v>2461</v>
      </c>
      <c r="E60" t="s">
        <v>2462</v>
      </c>
      <c r="F60" t="s">
        <v>579</v>
      </c>
      <c r="G60" t="s">
        <v>22</v>
      </c>
      <c r="H60" t="s">
        <v>22</v>
      </c>
      <c r="I60" t="s">
        <v>811</v>
      </c>
    </row>
    <row r="61" spans="1:9" ht="11.25" customHeight="1">
      <c r="A61" t="s">
        <v>2250</v>
      </c>
      <c r="B61" t="s">
        <v>16</v>
      </c>
      <c r="C61" t="s">
        <v>2463</v>
      </c>
      <c r="D61" t="s">
        <v>2464</v>
      </c>
      <c r="E61" t="s">
        <v>2465</v>
      </c>
      <c r="F61" t="s">
        <v>2254</v>
      </c>
      <c r="G61" t="s">
        <v>22</v>
      </c>
      <c r="H61" t="s">
        <v>22</v>
      </c>
      <c r="I61" t="s">
        <v>811</v>
      </c>
    </row>
    <row r="62" spans="1:9" ht="11.25" customHeight="1">
      <c r="A62" t="s">
        <v>2250</v>
      </c>
      <c r="B62" t="s">
        <v>16</v>
      </c>
      <c r="C62" t="s">
        <v>2466</v>
      </c>
      <c r="D62" t="s">
        <v>2467</v>
      </c>
      <c r="E62" t="s">
        <v>2402</v>
      </c>
      <c r="F62" t="s">
        <v>2468</v>
      </c>
      <c r="G62" t="s">
        <v>22</v>
      </c>
      <c r="H62" t="s">
        <v>22</v>
      </c>
      <c r="I62" t="s">
        <v>811</v>
      </c>
    </row>
    <row r="63" spans="1:9" ht="11.25" customHeight="1">
      <c r="A63" t="s">
        <v>2250</v>
      </c>
      <c r="B63" t="s">
        <v>16</v>
      </c>
      <c r="C63" t="s">
        <v>2469</v>
      </c>
      <c r="D63" t="s">
        <v>2470</v>
      </c>
      <c r="E63" t="s">
        <v>2402</v>
      </c>
      <c r="F63" t="s">
        <v>2471</v>
      </c>
      <c r="G63" t="s">
        <v>22</v>
      </c>
      <c r="H63" t="s">
        <v>22</v>
      </c>
      <c r="I63" t="s">
        <v>811</v>
      </c>
    </row>
    <row r="64" spans="1:9" ht="11.25" customHeight="1">
      <c r="A64" t="s">
        <v>2250</v>
      </c>
      <c r="B64" t="s">
        <v>16</v>
      </c>
      <c r="C64" t="s">
        <v>2472</v>
      </c>
      <c r="D64" t="s">
        <v>2473</v>
      </c>
      <c r="E64" t="s">
        <v>2398</v>
      </c>
      <c r="F64" t="s">
        <v>2474</v>
      </c>
      <c r="G64" t="s">
        <v>22</v>
      </c>
      <c r="H64" t="s">
        <v>22</v>
      </c>
      <c r="I64" t="s">
        <v>811</v>
      </c>
    </row>
    <row r="65" spans="1:9" ht="11.25" customHeight="1">
      <c r="A65" t="s">
        <v>2250</v>
      </c>
      <c r="B65" t="s">
        <v>16</v>
      </c>
      <c r="C65" t="s">
        <v>2475</v>
      </c>
      <c r="D65" t="s">
        <v>2476</v>
      </c>
      <c r="E65" t="s">
        <v>2413</v>
      </c>
      <c r="F65" t="s">
        <v>2477</v>
      </c>
      <c r="G65" t="s">
        <v>22</v>
      </c>
      <c r="H65" t="s">
        <v>22</v>
      </c>
      <c r="I65" t="s">
        <v>811</v>
      </c>
    </row>
    <row r="66" spans="1:9" ht="11.25" customHeight="1">
      <c r="A66" t="s">
        <v>2250</v>
      </c>
      <c r="B66" t="s">
        <v>16</v>
      </c>
      <c r="C66" t="s">
        <v>2478</v>
      </c>
      <c r="D66" t="s">
        <v>2479</v>
      </c>
      <c r="E66" t="s">
        <v>2448</v>
      </c>
      <c r="F66" t="s">
        <v>2480</v>
      </c>
      <c r="G66" t="s">
        <v>22</v>
      </c>
      <c r="H66" t="s">
        <v>22</v>
      </c>
      <c r="I66" t="s">
        <v>811</v>
      </c>
    </row>
    <row r="67" spans="1:9" ht="11.25" customHeight="1">
      <c r="A67" t="s">
        <v>2250</v>
      </c>
      <c r="B67" t="s">
        <v>16</v>
      </c>
      <c r="C67" t="s">
        <v>2481</v>
      </c>
      <c r="D67" t="s">
        <v>2482</v>
      </c>
      <c r="E67" t="s">
        <v>2483</v>
      </c>
      <c r="F67" t="s">
        <v>2484</v>
      </c>
      <c r="G67" t="s">
        <v>22</v>
      </c>
      <c r="H67" t="s">
        <v>22</v>
      </c>
      <c r="I67" t="s">
        <v>811</v>
      </c>
    </row>
    <row r="68" spans="1:9" ht="11.25" customHeight="1">
      <c r="A68" t="s">
        <v>2250</v>
      </c>
      <c r="B68" t="s">
        <v>16</v>
      </c>
      <c r="C68" t="s">
        <v>2485</v>
      </c>
      <c r="D68" t="s">
        <v>2486</v>
      </c>
      <c r="E68" t="s">
        <v>2487</v>
      </c>
      <c r="F68" t="s">
        <v>2488</v>
      </c>
      <c r="G68" t="s">
        <v>22</v>
      </c>
      <c r="H68" t="s">
        <v>22</v>
      </c>
      <c r="I68" t="s">
        <v>811</v>
      </c>
    </row>
    <row r="69" spans="1:9" ht="11.25" customHeight="1">
      <c r="A69" t="s">
        <v>2250</v>
      </c>
      <c r="B69" t="s">
        <v>16</v>
      </c>
      <c r="C69" t="s">
        <v>2489</v>
      </c>
      <c r="D69" t="s">
        <v>2490</v>
      </c>
      <c r="E69" t="s">
        <v>2491</v>
      </c>
      <c r="F69" t="s">
        <v>2492</v>
      </c>
      <c r="G69" t="s">
        <v>22</v>
      </c>
      <c r="H69" t="s">
        <v>22</v>
      </c>
      <c r="I69" t="s">
        <v>811</v>
      </c>
    </row>
    <row r="70" spans="1:9" ht="11.25" customHeight="1">
      <c r="A70" t="s">
        <v>2250</v>
      </c>
      <c r="B70" t="s">
        <v>16</v>
      </c>
      <c r="C70" t="s">
        <v>2493</v>
      </c>
      <c r="D70" t="s">
        <v>2494</v>
      </c>
      <c r="E70" t="s">
        <v>2495</v>
      </c>
      <c r="F70" t="s">
        <v>2273</v>
      </c>
      <c r="G70" t="s">
        <v>2496</v>
      </c>
      <c r="H70" t="s">
        <v>22</v>
      </c>
      <c r="I70" t="s">
        <v>811</v>
      </c>
    </row>
    <row r="71" spans="1:9" ht="11.25" customHeight="1">
      <c r="A71" t="s">
        <v>2250</v>
      </c>
      <c r="B71" t="s">
        <v>16</v>
      </c>
      <c r="C71" t="s">
        <v>2497</v>
      </c>
      <c r="D71" t="s">
        <v>2498</v>
      </c>
      <c r="E71" t="s">
        <v>2499</v>
      </c>
      <c r="F71" t="s">
        <v>2286</v>
      </c>
      <c r="G71" t="s">
        <v>22</v>
      </c>
      <c r="H71" t="s">
        <v>22</v>
      </c>
      <c r="I71" t="s">
        <v>811</v>
      </c>
    </row>
    <row r="72" spans="1:9" ht="11.25" customHeight="1">
      <c r="A72" t="s">
        <v>2250</v>
      </c>
      <c r="B72" t="s">
        <v>16</v>
      </c>
      <c r="C72" t="s">
        <v>2500</v>
      </c>
      <c r="D72" t="s">
        <v>2501</v>
      </c>
      <c r="E72" t="s">
        <v>2502</v>
      </c>
      <c r="F72" t="s">
        <v>2503</v>
      </c>
      <c r="G72" t="s">
        <v>22</v>
      </c>
      <c r="H72" t="s">
        <v>22</v>
      </c>
      <c r="I72" t="s">
        <v>811</v>
      </c>
    </row>
    <row r="73" spans="1:9" ht="11.25" customHeight="1">
      <c r="A73" t="s">
        <v>2250</v>
      </c>
      <c r="B73" t="s">
        <v>16</v>
      </c>
      <c r="C73" t="s">
        <v>2504</v>
      </c>
      <c r="D73" t="s">
        <v>2505</v>
      </c>
      <c r="E73" t="s">
        <v>2506</v>
      </c>
      <c r="F73" t="s">
        <v>2326</v>
      </c>
      <c r="G73" t="s">
        <v>22</v>
      </c>
      <c r="H73" t="s">
        <v>22</v>
      </c>
      <c r="I73" t="s">
        <v>811</v>
      </c>
    </row>
    <row r="74" spans="1:9" ht="11.25" customHeight="1">
      <c r="A74" t="s">
        <v>2250</v>
      </c>
      <c r="B74" t="s">
        <v>16</v>
      </c>
      <c r="C74" t="s">
        <v>2507</v>
      </c>
      <c r="D74" t="s">
        <v>2508</v>
      </c>
      <c r="E74" t="s">
        <v>2509</v>
      </c>
      <c r="F74" t="s">
        <v>2510</v>
      </c>
      <c r="G74" t="s">
        <v>22</v>
      </c>
      <c r="H74" t="s">
        <v>22</v>
      </c>
      <c r="I74" t="s">
        <v>811</v>
      </c>
    </row>
    <row r="75" spans="1:9" ht="11.25" customHeight="1">
      <c r="A75" t="s">
        <v>2250</v>
      </c>
      <c r="B75" t="s">
        <v>16</v>
      </c>
      <c r="C75" t="s">
        <v>2511</v>
      </c>
      <c r="D75" t="s">
        <v>2512</v>
      </c>
      <c r="E75" t="s">
        <v>2513</v>
      </c>
      <c r="F75" t="s">
        <v>2514</v>
      </c>
      <c r="G75" t="s">
        <v>22</v>
      </c>
      <c r="H75" t="s">
        <v>22</v>
      </c>
      <c r="I75" t="s">
        <v>811</v>
      </c>
    </row>
    <row r="76" spans="1:9" ht="11.25" customHeight="1">
      <c r="A76" t="s">
        <v>2250</v>
      </c>
      <c r="B76" t="s">
        <v>16</v>
      </c>
      <c r="C76" t="s">
        <v>2515</v>
      </c>
      <c r="D76" t="s">
        <v>2516</v>
      </c>
      <c r="E76" t="s">
        <v>2517</v>
      </c>
      <c r="F76" t="s">
        <v>2484</v>
      </c>
      <c r="G76" t="s">
        <v>22</v>
      </c>
      <c r="H76" t="s">
        <v>22</v>
      </c>
      <c r="I76" t="s">
        <v>811</v>
      </c>
    </row>
    <row r="77" spans="1:9" ht="11.25" customHeight="1">
      <c r="A77" t="s">
        <v>2250</v>
      </c>
      <c r="B77" t="s">
        <v>16</v>
      </c>
      <c r="C77" t="s">
        <v>2518</v>
      </c>
      <c r="D77" t="s">
        <v>2519</v>
      </c>
      <c r="E77" t="s">
        <v>2520</v>
      </c>
      <c r="F77" t="s">
        <v>2521</v>
      </c>
      <c r="G77" t="s">
        <v>22</v>
      </c>
      <c r="H77" t="s">
        <v>22</v>
      </c>
      <c r="I77" t="s">
        <v>811</v>
      </c>
    </row>
    <row r="78" spans="1:9" ht="11.25" customHeight="1">
      <c r="A78" t="s">
        <v>2250</v>
      </c>
      <c r="B78" t="s">
        <v>16</v>
      </c>
      <c r="C78" t="s">
        <v>2522</v>
      </c>
      <c r="D78" t="s">
        <v>2523</v>
      </c>
      <c r="E78" t="s">
        <v>2524</v>
      </c>
      <c r="F78" t="s">
        <v>2525</v>
      </c>
      <c r="G78" t="s">
        <v>22</v>
      </c>
      <c r="H78" t="s">
        <v>22</v>
      </c>
      <c r="I78" t="s">
        <v>811</v>
      </c>
    </row>
    <row r="79" spans="1:9" ht="11.25" customHeight="1">
      <c r="A79" t="s">
        <v>2250</v>
      </c>
      <c r="B79" t="s">
        <v>16</v>
      </c>
      <c r="C79" t="s">
        <v>2526</v>
      </c>
      <c r="D79" t="s">
        <v>2527</v>
      </c>
      <c r="E79" t="s">
        <v>2528</v>
      </c>
      <c r="F79" t="s">
        <v>2258</v>
      </c>
      <c r="G79" t="s">
        <v>22</v>
      </c>
      <c r="H79" t="s">
        <v>22</v>
      </c>
      <c r="I79" t="s">
        <v>811</v>
      </c>
    </row>
    <row r="80" spans="1:9" ht="11.25" customHeight="1">
      <c r="A80" t="s">
        <v>2250</v>
      </c>
      <c r="B80" t="s">
        <v>16</v>
      </c>
      <c r="C80" t="s">
        <v>2529</v>
      </c>
      <c r="D80" t="s">
        <v>2530</v>
      </c>
      <c r="E80" t="s">
        <v>2531</v>
      </c>
      <c r="F80" t="s">
        <v>2262</v>
      </c>
      <c r="G80" t="s">
        <v>22</v>
      </c>
      <c r="H80" t="s">
        <v>22</v>
      </c>
      <c r="I80" t="s">
        <v>811</v>
      </c>
    </row>
    <row r="81" spans="1:9" ht="11.25" customHeight="1">
      <c r="A81" t="s">
        <v>2250</v>
      </c>
      <c r="B81" t="s">
        <v>16</v>
      </c>
      <c r="C81" t="s">
        <v>2532</v>
      </c>
      <c r="D81" t="s">
        <v>2533</v>
      </c>
      <c r="E81" t="s">
        <v>2534</v>
      </c>
      <c r="F81" t="s">
        <v>2535</v>
      </c>
      <c r="G81" t="s">
        <v>22</v>
      </c>
      <c r="H81" t="s">
        <v>22</v>
      </c>
      <c r="I81" t="s">
        <v>811</v>
      </c>
    </row>
    <row r="82" spans="1:9" ht="11.25" customHeight="1">
      <c r="A82" t="s">
        <v>2250</v>
      </c>
      <c r="B82" t="s">
        <v>16</v>
      </c>
      <c r="C82" t="s">
        <v>2536</v>
      </c>
      <c r="D82" t="s">
        <v>2537</v>
      </c>
      <c r="E82" t="s">
        <v>2538</v>
      </c>
      <c r="F82" t="s">
        <v>2539</v>
      </c>
      <c r="G82" t="s">
        <v>22</v>
      </c>
      <c r="H82" t="s">
        <v>22</v>
      </c>
      <c r="I82" t="s">
        <v>811</v>
      </c>
    </row>
    <row r="83" spans="1:9" ht="11.25" customHeight="1">
      <c r="A83" t="s">
        <v>2250</v>
      </c>
      <c r="B83" t="s">
        <v>16</v>
      </c>
      <c r="C83" t="s">
        <v>2540</v>
      </c>
      <c r="D83" t="s">
        <v>2541</v>
      </c>
      <c r="E83" t="s">
        <v>2542</v>
      </c>
      <c r="F83" t="s">
        <v>2543</v>
      </c>
      <c r="G83" t="s">
        <v>2544</v>
      </c>
      <c r="H83" t="s">
        <v>22</v>
      </c>
      <c r="I83" t="s">
        <v>811</v>
      </c>
    </row>
    <row r="84" spans="1:9" ht="11.25" customHeight="1">
      <c r="A84" t="s">
        <v>2250</v>
      </c>
      <c r="B84" t="s">
        <v>16</v>
      </c>
      <c r="C84" t="s">
        <v>2545</v>
      </c>
      <c r="D84" t="s">
        <v>2546</v>
      </c>
      <c r="E84" t="s">
        <v>2547</v>
      </c>
      <c r="F84" t="s">
        <v>2459</v>
      </c>
      <c r="G84" t="s">
        <v>2548</v>
      </c>
      <c r="H84" t="s">
        <v>22</v>
      </c>
      <c r="I84" t="s">
        <v>811</v>
      </c>
    </row>
    <row r="85" spans="1:9" ht="11.25" customHeight="1">
      <c r="A85" t="s">
        <v>2250</v>
      </c>
      <c r="B85" t="s">
        <v>16</v>
      </c>
      <c r="C85" t="s">
        <v>2549</v>
      </c>
      <c r="D85" t="s">
        <v>2550</v>
      </c>
      <c r="E85" t="s">
        <v>2402</v>
      </c>
      <c r="F85" t="s">
        <v>2551</v>
      </c>
      <c r="G85" t="s">
        <v>22</v>
      </c>
      <c r="H85" t="s">
        <v>22</v>
      </c>
      <c r="I85" t="s">
        <v>811</v>
      </c>
    </row>
    <row r="86" spans="1:9" ht="11.25" customHeight="1">
      <c r="A86" t="s">
        <v>2250</v>
      </c>
      <c r="B86" t="s">
        <v>16</v>
      </c>
      <c r="C86" t="s">
        <v>2552</v>
      </c>
      <c r="D86" t="s">
        <v>2553</v>
      </c>
      <c r="E86" t="s">
        <v>2398</v>
      </c>
      <c r="F86" t="s">
        <v>2554</v>
      </c>
      <c r="G86" t="s">
        <v>22</v>
      </c>
      <c r="H86" t="s">
        <v>22</v>
      </c>
      <c r="I86" t="s">
        <v>811</v>
      </c>
    </row>
    <row r="87" spans="1:9" ht="11.25" customHeight="1">
      <c r="A87" t="s">
        <v>2250</v>
      </c>
      <c r="B87" t="s">
        <v>16</v>
      </c>
      <c r="C87" t="s">
        <v>2555</v>
      </c>
      <c r="D87" t="s">
        <v>2556</v>
      </c>
      <c r="E87" t="s">
        <v>2557</v>
      </c>
      <c r="F87" t="s">
        <v>2303</v>
      </c>
      <c r="G87" t="s">
        <v>22</v>
      </c>
      <c r="H87" t="s">
        <v>22</v>
      </c>
      <c r="I87" t="s">
        <v>811</v>
      </c>
    </row>
    <row r="88" spans="1:9" ht="11.25" customHeight="1">
      <c r="A88" t="s">
        <v>2250</v>
      </c>
      <c r="B88" t="s">
        <v>16</v>
      </c>
      <c r="C88" t="s">
        <v>2558</v>
      </c>
      <c r="D88" t="s">
        <v>2559</v>
      </c>
      <c r="E88" t="s">
        <v>2560</v>
      </c>
      <c r="F88" t="s">
        <v>2362</v>
      </c>
      <c r="G88" t="s">
        <v>22</v>
      </c>
      <c r="H88" t="s">
        <v>22</v>
      </c>
      <c r="I88" t="s">
        <v>811</v>
      </c>
    </row>
    <row r="89" spans="1:9" ht="11.25" customHeight="1">
      <c r="A89" t="s">
        <v>2250</v>
      </c>
      <c r="B89" t="s">
        <v>16</v>
      </c>
      <c r="C89" t="s">
        <v>2561</v>
      </c>
      <c r="D89" t="s">
        <v>2562</v>
      </c>
      <c r="E89" t="s">
        <v>2563</v>
      </c>
      <c r="F89" t="s">
        <v>2326</v>
      </c>
      <c r="G89" t="s">
        <v>22</v>
      </c>
      <c r="H89" t="s">
        <v>22</v>
      </c>
      <c r="I89" t="s">
        <v>811</v>
      </c>
    </row>
    <row r="90" spans="1:9" ht="11.25" customHeight="1">
      <c r="A90" t="s">
        <v>2250</v>
      </c>
      <c r="B90" t="s">
        <v>16</v>
      </c>
      <c r="C90" t="s">
        <v>2564</v>
      </c>
      <c r="D90" t="s">
        <v>2565</v>
      </c>
      <c r="E90" t="s">
        <v>2333</v>
      </c>
      <c r="F90" t="s">
        <v>2362</v>
      </c>
      <c r="G90" t="s">
        <v>22</v>
      </c>
      <c r="H90" t="s">
        <v>22</v>
      </c>
      <c r="I90" t="s">
        <v>811</v>
      </c>
    </row>
    <row r="91" spans="1:9" ht="11.25" customHeight="1">
      <c r="A91" t="s">
        <v>2250</v>
      </c>
      <c r="B91" t="s">
        <v>16</v>
      </c>
      <c r="C91" t="s">
        <v>2566</v>
      </c>
      <c r="D91" t="s">
        <v>2567</v>
      </c>
      <c r="E91" t="s">
        <v>2568</v>
      </c>
      <c r="F91" t="s">
        <v>2254</v>
      </c>
      <c r="G91" t="s">
        <v>22</v>
      </c>
      <c r="H91" t="s">
        <v>22</v>
      </c>
      <c r="I91" t="s">
        <v>811</v>
      </c>
    </row>
    <row r="92" spans="1:9" ht="11.25" customHeight="1">
      <c r="A92" t="s">
        <v>2250</v>
      </c>
      <c r="B92" t="s">
        <v>16</v>
      </c>
      <c r="C92" t="s">
        <v>2569</v>
      </c>
      <c r="D92" t="s">
        <v>2570</v>
      </c>
      <c r="E92" t="s">
        <v>2571</v>
      </c>
      <c r="F92" t="s">
        <v>2459</v>
      </c>
      <c r="G92" t="s">
        <v>22</v>
      </c>
      <c r="H92" t="s">
        <v>22</v>
      </c>
      <c r="I92" t="s">
        <v>811</v>
      </c>
    </row>
    <row r="93" spans="1:9" ht="11.25" customHeight="1">
      <c r="A93" t="s">
        <v>2250</v>
      </c>
      <c r="B93" t="s">
        <v>16</v>
      </c>
      <c r="C93" t="s">
        <v>2572</v>
      </c>
      <c r="D93" t="s">
        <v>2573</v>
      </c>
      <c r="E93" t="s">
        <v>2574</v>
      </c>
      <c r="F93" t="s">
        <v>2282</v>
      </c>
      <c r="G93" t="s">
        <v>22</v>
      </c>
      <c r="H93" t="s">
        <v>22</v>
      </c>
      <c r="I93" t="s">
        <v>811</v>
      </c>
    </row>
    <row r="94" spans="1:9" ht="11.25" customHeight="1">
      <c r="A94" t="s">
        <v>2250</v>
      </c>
      <c r="B94" t="s">
        <v>16</v>
      </c>
      <c r="C94" t="s">
        <v>2575</v>
      </c>
      <c r="D94" t="s">
        <v>2576</v>
      </c>
      <c r="E94" t="s">
        <v>2577</v>
      </c>
      <c r="F94" t="s">
        <v>2514</v>
      </c>
      <c r="G94" t="s">
        <v>22</v>
      </c>
      <c r="H94" t="s">
        <v>22</v>
      </c>
      <c r="I94" t="s">
        <v>811</v>
      </c>
    </row>
    <row r="95" spans="1:9" ht="11.25" customHeight="1">
      <c r="A95" t="s">
        <v>2250</v>
      </c>
      <c r="B95" t="s">
        <v>16</v>
      </c>
      <c r="C95" t="s">
        <v>2578</v>
      </c>
      <c r="D95" t="s">
        <v>2579</v>
      </c>
      <c r="E95" t="s">
        <v>2580</v>
      </c>
      <c r="F95" t="s">
        <v>2459</v>
      </c>
      <c r="G95" t="s">
        <v>22</v>
      </c>
      <c r="H95" t="s">
        <v>22</v>
      </c>
      <c r="I95" t="s">
        <v>811</v>
      </c>
    </row>
    <row r="96" spans="1:9" ht="11.25" customHeight="1">
      <c r="A96" t="s">
        <v>2250</v>
      </c>
      <c r="B96" t="s">
        <v>16</v>
      </c>
      <c r="C96" t="s">
        <v>2581</v>
      </c>
      <c r="D96" t="s">
        <v>2582</v>
      </c>
      <c r="E96" t="s">
        <v>2583</v>
      </c>
      <c r="F96" t="s">
        <v>2584</v>
      </c>
      <c r="G96" t="s">
        <v>22</v>
      </c>
      <c r="H96" t="s">
        <v>22</v>
      </c>
      <c r="I96" t="s">
        <v>811</v>
      </c>
    </row>
    <row r="97" spans="1:9" ht="11.25" customHeight="1">
      <c r="A97" t="s">
        <v>2250</v>
      </c>
      <c r="B97" t="s">
        <v>16</v>
      </c>
      <c r="C97" t="s">
        <v>2585</v>
      </c>
      <c r="D97" t="s">
        <v>2586</v>
      </c>
      <c r="E97" t="s">
        <v>2587</v>
      </c>
      <c r="F97" t="s">
        <v>2588</v>
      </c>
      <c r="G97" t="s">
        <v>22</v>
      </c>
      <c r="H97" t="s">
        <v>22</v>
      </c>
      <c r="I97" t="s">
        <v>811</v>
      </c>
    </row>
    <row r="98" spans="1:9" ht="11.25" customHeight="1">
      <c r="A98" t="s">
        <v>2250</v>
      </c>
      <c r="B98" t="s">
        <v>16</v>
      </c>
      <c r="C98" t="s">
        <v>2589</v>
      </c>
      <c r="D98" t="s">
        <v>2590</v>
      </c>
      <c r="E98" t="s">
        <v>2591</v>
      </c>
      <c r="F98" t="s">
        <v>2254</v>
      </c>
      <c r="G98" t="s">
        <v>22</v>
      </c>
      <c r="H98" t="s">
        <v>22</v>
      </c>
      <c r="I98" t="s">
        <v>811</v>
      </c>
    </row>
    <row r="99" spans="1:9" ht="11.25" customHeight="1">
      <c r="A99" t="s">
        <v>2250</v>
      </c>
      <c r="B99" t="s">
        <v>16</v>
      </c>
      <c r="C99" t="s">
        <v>2592</v>
      </c>
      <c r="D99" t="s">
        <v>2593</v>
      </c>
      <c r="E99" t="s">
        <v>2594</v>
      </c>
      <c r="F99" t="s">
        <v>2362</v>
      </c>
      <c r="G99" t="s">
        <v>2595</v>
      </c>
      <c r="H99" t="s">
        <v>22</v>
      </c>
      <c r="I99" t="s">
        <v>811</v>
      </c>
    </row>
    <row r="100" spans="1:9" ht="11.25" customHeight="1">
      <c r="A100" t="s">
        <v>2250</v>
      </c>
      <c r="B100" t="s">
        <v>16</v>
      </c>
      <c r="C100" t="s">
        <v>2596</v>
      </c>
      <c r="D100" t="s">
        <v>2597</v>
      </c>
      <c r="E100" t="s">
        <v>2598</v>
      </c>
      <c r="F100" t="s">
        <v>2362</v>
      </c>
      <c r="G100" t="s">
        <v>22</v>
      </c>
      <c r="H100" t="s">
        <v>22</v>
      </c>
      <c r="I100" t="s">
        <v>811</v>
      </c>
    </row>
    <row r="101" spans="1:9" ht="11.25" customHeight="1">
      <c r="A101" t="s">
        <v>2250</v>
      </c>
      <c r="B101" t="s">
        <v>16</v>
      </c>
      <c r="C101" t="s">
        <v>2599</v>
      </c>
      <c r="D101" t="s">
        <v>2600</v>
      </c>
      <c r="E101" t="s">
        <v>2601</v>
      </c>
      <c r="F101" t="s">
        <v>2602</v>
      </c>
      <c r="G101" t="s">
        <v>22</v>
      </c>
      <c r="H101" t="s">
        <v>22</v>
      </c>
      <c r="I101" t="s">
        <v>811</v>
      </c>
    </row>
    <row r="102" spans="1:9" ht="11.25" customHeight="1">
      <c r="A102" t="s">
        <v>2250</v>
      </c>
      <c r="B102" t="s">
        <v>16</v>
      </c>
      <c r="C102" t="s">
        <v>2603</v>
      </c>
      <c r="D102" t="s">
        <v>2604</v>
      </c>
      <c r="E102" t="s">
        <v>2605</v>
      </c>
      <c r="F102" t="s">
        <v>2303</v>
      </c>
      <c r="G102" t="s">
        <v>22</v>
      </c>
      <c r="H102" t="s">
        <v>22</v>
      </c>
      <c r="I102" t="s">
        <v>811</v>
      </c>
    </row>
    <row r="103" spans="1:9" ht="11.25" customHeight="1">
      <c r="A103" t="s">
        <v>2250</v>
      </c>
      <c r="B103" t="s">
        <v>16</v>
      </c>
      <c r="C103" t="s">
        <v>2606</v>
      </c>
      <c r="D103" t="s">
        <v>2607</v>
      </c>
      <c r="E103" t="s">
        <v>2608</v>
      </c>
      <c r="F103" t="s">
        <v>2258</v>
      </c>
      <c r="G103" t="s">
        <v>22</v>
      </c>
      <c r="H103" t="s">
        <v>22</v>
      </c>
      <c r="I103" t="s">
        <v>811</v>
      </c>
    </row>
    <row r="104" spans="1:9" ht="11.25" customHeight="1">
      <c r="A104" t="s">
        <v>2250</v>
      </c>
      <c r="B104" t="s">
        <v>16</v>
      </c>
      <c r="C104" t="s">
        <v>2609</v>
      </c>
      <c r="D104" t="s">
        <v>2610</v>
      </c>
      <c r="E104" t="s">
        <v>2611</v>
      </c>
      <c r="F104" t="s">
        <v>2286</v>
      </c>
      <c r="G104" t="s">
        <v>22</v>
      </c>
      <c r="H104" t="s">
        <v>22</v>
      </c>
      <c r="I104" t="s">
        <v>811</v>
      </c>
    </row>
    <row r="105" spans="1:9" ht="11.25" customHeight="1">
      <c r="A105" t="s">
        <v>2250</v>
      </c>
      <c r="B105" t="s">
        <v>16</v>
      </c>
      <c r="C105" t="s">
        <v>2612</v>
      </c>
      <c r="D105" t="s">
        <v>2613</v>
      </c>
      <c r="E105" t="s">
        <v>2614</v>
      </c>
      <c r="F105" t="s">
        <v>51</v>
      </c>
      <c r="G105" t="s">
        <v>22</v>
      </c>
      <c r="H105" t="s">
        <v>22</v>
      </c>
      <c r="I105" t="s">
        <v>811</v>
      </c>
    </row>
    <row r="106" spans="1:9" ht="11.25" customHeight="1">
      <c r="A106" t="s">
        <v>2250</v>
      </c>
      <c r="B106" t="s">
        <v>16</v>
      </c>
      <c r="C106" t="s">
        <v>2615</v>
      </c>
      <c r="D106" t="s">
        <v>2616</v>
      </c>
      <c r="E106" t="s">
        <v>2617</v>
      </c>
      <c r="F106" t="s">
        <v>2417</v>
      </c>
      <c r="G106" t="s">
        <v>22</v>
      </c>
      <c r="H106" t="s">
        <v>22</v>
      </c>
      <c r="I106" t="s">
        <v>811</v>
      </c>
    </row>
    <row r="107" spans="1:9" ht="11.25" customHeight="1">
      <c r="A107" t="s">
        <v>2250</v>
      </c>
      <c r="B107" t="s">
        <v>16</v>
      </c>
      <c r="C107" t="s">
        <v>2618</v>
      </c>
      <c r="D107" t="s">
        <v>2619</v>
      </c>
      <c r="E107" t="s">
        <v>2620</v>
      </c>
      <c r="F107" t="s">
        <v>2303</v>
      </c>
      <c r="G107" t="s">
        <v>2621</v>
      </c>
      <c r="H107" t="s">
        <v>22</v>
      </c>
      <c r="I107" t="s">
        <v>811</v>
      </c>
    </row>
    <row r="108" spans="1:9" ht="11.25" customHeight="1">
      <c r="A108" t="s">
        <v>2250</v>
      </c>
      <c r="B108" t="s">
        <v>16</v>
      </c>
      <c r="C108" t="s">
        <v>2622</v>
      </c>
      <c r="D108" t="s">
        <v>2623</v>
      </c>
      <c r="E108" t="s">
        <v>2624</v>
      </c>
      <c r="F108" t="s">
        <v>2330</v>
      </c>
      <c r="G108" t="s">
        <v>22</v>
      </c>
      <c r="H108" t="s">
        <v>22</v>
      </c>
      <c r="I108" t="s">
        <v>811</v>
      </c>
    </row>
    <row r="109" spans="1:9" ht="11.25" customHeight="1">
      <c r="A109" t="s">
        <v>2250</v>
      </c>
      <c r="B109" t="s">
        <v>16</v>
      </c>
      <c r="C109" t="s">
        <v>2625</v>
      </c>
      <c r="D109" t="s">
        <v>2626</v>
      </c>
      <c r="E109" t="s">
        <v>2627</v>
      </c>
      <c r="F109" t="s">
        <v>2258</v>
      </c>
      <c r="G109" t="s">
        <v>22</v>
      </c>
      <c r="H109" t="s">
        <v>22</v>
      </c>
      <c r="I109" t="s">
        <v>811</v>
      </c>
    </row>
    <row r="110" spans="1:9" ht="11.25" customHeight="1">
      <c r="A110" t="s">
        <v>2250</v>
      </c>
      <c r="B110" t="s">
        <v>16</v>
      </c>
      <c r="C110" t="s">
        <v>2628</v>
      </c>
      <c r="D110" t="s">
        <v>2629</v>
      </c>
      <c r="E110" t="s">
        <v>2630</v>
      </c>
      <c r="F110" t="s">
        <v>2311</v>
      </c>
      <c r="G110" t="s">
        <v>2631</v>
      </c>
      <c r="H110" t="s">
        <v>22</v>
      </c>
      <c r="I110" t="s">
        <v>811</v>
      </c>
    </row>
    <row r="111" spans="1:9" ht="11.25" customHeight="1">
      <c r="A111" t="s">
        <v>2250</v>
      </c>
      <c r="B111" t="s">
        <v>16</v>
      </c>
      <c r="C111" t="s">
        <v>2632</v>
      </c>
      <c r="D111" t="s">
        <v>2633</v>
      </c>
      <c r="E111" t="s">
        <v>2634</v>
      </c>
      <c r="F111" t="s">
        <v>2337</v>
      </c>
      <c r="G111" t="s">
        <v>22</v>
      </c>
      <c r="H111" t="s">
        <v>22</v>
      </c>
      <c r="I111" t="s">
        <v>811</v>
      </c>
    </row>
    <row r="112" spans="1:9" ht="11.25" customHeight="1">
      <c r="A112" t="s">
        <v>2250</v>
      </c>
      <c r="B112" t="s">
        <v>16</v>
      </c>
      <c r="C112" t="s">
        <v>2635</v>
      </c>
      <c r="D112" t="s">
        <v>2636</v>
      </c>
      <c r="E112" t="s">
        <v>2637</v>
      </c>
      <c r="F112" t="s">
        <v>2521</v>
      </c>
      <c r="G112" t="s">
        <v>22</v>
      </c>
      <c r="H112" t="s">
        <v>22</v>
      </c>
      <c r="I112" t="s">
        <v>811</v>
      </c>
    </row>
    <row r="113" spans="1:9" ht="11.25" customHeight="1">
      <c r="A113" t="s">
        <v>2250</v>
      </c>
      <c r="B113" t="s">
        <v>16</v>
      </c>
      <c r="C113" t="s">
        <v>2638</v>
      </c>
      <c r="D113" t="s">
        <v>46</v>
      </c>
      <c r="E113" t="s">
        <v>2639</v>
      </c>
      <c r="F113" t="s">
        <v>2640</v>
      </c>
      <c r="G113" t="s">
        <v>22</v>
      </c>
      <c r="H113" t="s">
        <v>22</v>
      </c>
      <c r="I113" t="s">
        <v>811</v>
      </c>
    </row>
    <row r="114" spans="1:9" ht="11.25" customHeight="1">
      <c r="A114" t="s">
        <v>2250</v>
      </c>
      <c r="B114" t="s">
        <v>16</v>
      </c>
      <c r="C114" t="s">
        <v>13</v>
      </c>
      <c r="D114" t="s">
        <v>46</v>
      </c>
      <c r="E114" t="s">
        <v>49</v>
      </c>
      <c r="F114" t="s">
        <v>51</v>
      </c>
      <c r="G114" t="s">
        <v>22</v>
      </c>
      <c r="H114" t="s">
        <v>22</v>
      </c>
      <c r="I114" t="s">
        <v>811</v>
      </c>
    </row>
    <row r="115" spans="1:9" ht="11.25" customHeight="1">
      <c r="A115" t="s">
        <v>2250</v>
      </c>
      <c r="B115" t="s">
        <v>16</v>
      </c>
      <c r="C115" t="s">
        <v>2641</v>
      </c>
      <c r="D115" t="s">
        <v>2642</v>
      </c>
      <c r="E115" t="s">
        <v>2643</v>
      </c>
      <c r="F115" t="s">
        <v>2417</v>
      </c>
      <c r="G115" t="s">
        <v>22</v>
      </c>
      <c r="H115" t="s">
        <v>22</v>
      </c>
      <c r="I115" t="s">
        <v>811</v>
      </c>
    </row>
    <row r="116" spans="1:9" ht="11.25" customHeight="1">
      <c r="A116" t="s">
        <v>2250</v>
      </c>
      <c r="B116" t="s">
        <v>16</v>
      </c>
      <c r="C116" t="s">
        <v>2644</v>
      </c>
      <c r="D116" t="s">
        <v>2645</v>
      </c>
      <c r="E116" t="s">
        <v>2646</v>
      </c>
      <c r="F116" t="s">
        <v>2647</v>
      </c>
      <c r="G116" t="s">
        <v>22</v>
      </c>
      <c r="H116" t="s">
        <v>22</v>
      </c>
      <c r="I116" t="s">
        <v>811</v>
      </c>
    </row>
    <row r="117" spans="1:9" ht="11.25" customHeight="1">
      <c r="A117" t="s">
        <v>2250</v>
      </c>
      <c r="B117" t="s">
        <v>16</v>
      </c>
      <c r="C117" t="s">
        <v>2648</v>
      </c>
      <c r="D117" t="s">
        <v>2649</v>
      </c>
      <c r="E117" t="s">
        <v>2650</v>
      </c>
      <c r="F117" t="s">
        <v>2337</v>
      </c>
      <c r="G117" t="s">
        <v>22</v>
      </c>
      <c r="H117" t="s">
        <v>22</v>
      </c>
      <c r="I117" t="s">
        <v>811</v>
      </c>
    </row>
    <row r="118" spans="1:9" ht="11.25" customHeight="1">
      <c r="A118" t="s">
        <v>2250</v>
      </c>
      <c r="B118" t="s">
        <v>16</v>
      </c>
      <c r="C118" t="s">
        <v>2651</v>
      </c>
      <c r="D118" t="s">
        <v>2652</v>
      </c>
      <c r="E118" t="s">
        <v>2653</v>
      </c>
      <c r="F118" t="s">
        <v>2326</v>
      </c>
      <c r="G118" t="s">
        <v>22</v>
      </c>
      <c r="H118" t="s">
        <v>22</v>
      </c>
      <c r="I118" t="s">
        <v>811</v>
      </c>
    </row>
    <row r="119" spans="1:9" ht="11.25" customHeight="1">
      <c r="A119" t="s">
        <v>2250</v>
      </c>
      <c r="B119" t="s">
        <v>16</v>
      </c>
      <c r="C119" t="s">
        <v>2654</v>
      </c>
      <c r="D119" t="s">
        <v>2655</v>
      </c>
      <c r="E119" t="s">
        <v>2656</v>
      </c>
      <c r="F119" t="s">
        <v>2322</v>
      </c>
      <c r="G119" t="s">
        <v>2657</v>
      </c>
      <c r="H119" t="s">
        <v>22</v>
      </c>
      <c r="I119" t="s">
        <v>811</v>
      </c>
    </row>
    <row r="120" spans="1:9" ht="11.25" customHeight="1">
      <c r="A120" t="s">
        <v>2250</v>
      </c>
      <c r="B120" t="s">
        <v>16</v>
      </c>
      <c r="C120" t="s">
        <v>2658</v>
      </c>
      <c r="D120" t="s">
        <v>2659</v>
      </c>
      <c r="E120" t="s">
        <v>2660</v>
      </c>
      <c r="F120" t="s">
        <v>2661</v>
      </c>
      <c r="G120" t="s">
        <v>22</v>
      </c>
      <c r="H120" t="s">
        <v>22</v>
      </c>
      <c r="I120" t="s">
        <v>811</v>
      </c>
    </row>
    <row r="121" spans="1:9" ht="11.25" customHeight="1">
      <c r="A121" t="s">
        <v>2250</v>
      </c>
      <c r="B121" t="s">
        <v>16</v>
      </c>
      <c r="C121" t="s">
        <v>2662</v>
      </c>
      <c r="D121" t="s">
        <v>2663</v>
      </c>
      <c r="E121" t="s">
        <v>2664</v>
      </c>
      <c r="F121" t="s">
        <v>2326</v>
      </c>
      <c r="G121" t="s">
        <v>22</v>
      </c>
      <c r="H121" t="s">
        <v>22</v>
      </c>
      <c r="I121" t="s">
        <v>811</v>
      </c>
    </row>
    <row r="122" spans="1:9" ht="11.25" customHeight="1">
      <c r="A122" t="s">
        <v>2250</v>
      </c>
      <c r="B122" t="s">
        <v>16</v>
      </c>
      <c r="C122" t="s">
        <v>2665</v>
      </c>
      <c r="D122" t="s">
        <v>2666</v>
      </c>
      <c r="E122" t="s">
        <v>2667</v>
      </c>
      <c r="F122" t="s">
        <v>2417</v>
      </c>
      <c r="G122" t="s">
        <v>22</v>
      </c>
      <c r="H122" t="s">
        <v>22</v>
      </c>
      <c r="I122" t="s">
        <v>811</v>
      </c>
    </row>
    <row r="123" spans="1:9" ht="11.25" customHeight="1">
      <c r="A123" t="s">
        <v>2250</v>
      </c>
      <c r="B123" t="s">
        <v>16</v>
      </c>
      <c r="C123" t="s">
        <v>2668</v>
      </c>
      <c r="D123" t="s">
        <v>2669</v>
      </c>
      <c r="E123" t="s">
        <v>2670</v>
      </c>
      <c r="F123" t="s">
        <v>2254</v>
      </c>
      <c r="G123" t="s">
        <v>22</v>
      </c>
      <c r="H123" t="s">
        <v>22</v>
      </c>
      <c r="I123" t="s">
        <v>811</v>
      </c>
    </row>
    <row r="124" spans="1:9" ht="11.25" customHeight="1">
      <c r="A124" t="s">
        <v>2250</v>
      </c>
      <c r="B124" t="s">
        <v>16</v>
      </c>
      <c r="C124" t="s">
        <v>2671</v>
      </c>
      <c r="D124" t="s">
        <v>2672</v>
      </c>
      <c r="E124" t="s">
        <v>2673</v>
      </c>
      <c r="F124" t="s">
        <v>2674</v>
      </c>
      <c r="G124" t="s">
        <v>22</v>
      </c>
      <c r="H124" t="s">
        <v>22</v>
      </c>
      <c r="I124" t="s">
        <v>811</v>
      </c>
    </row>
    <row r="125" spans="1:9" ht="11.25" customHeight="1">
      <c r="A125" t="s">
        <v>2250</v>
      </c>
      <c r="B125" t="s">
        <v>16</v>
      </c>
      <c r="C125" t="s">
        <v>2675</v>
      </c>
      <c r="D125" t="s">
        <v>2676</v>
      </c>
      <c r="E125" t="s">
        <v>2677</v>
      </c>
      <c r="F125" t="s">
        <v>2674</v>
      </c>
      <c r="G125" t="s">
        <v>22</v>
      </c>
      <c r="H125" t="s">
        <v>22</v>
      </c>
      <c r="I125" t="s">
        <v>811</v>
      </c>
    </row>
    <row r="126" spans="1:9" ht="11.25" customHeight="1">
      <c r="A126" t="s">
        <v>2250</v>
      </c>
      <c r="B126" t="s">
        <v>16</v>
      </c>
      <c r="C126" t="s">
        <v>2678</v>
      </c>
      <c r="D126" t="s">
        <v>2679</v>
      </c>
      <c r="E126" t="s">
        <v>2680</v>
      </c>
      <c r="F126" t="s">
        <v>2525</v>
      </c>
      <c r="G126" t="s">
        <v>22</v>
      </c>
      <c r="H126" t="s">
        <v>22</v>
      </c>
      <c r="I126" t="s">
        <v>811</v>
      </c>
    </row>
    <row r="127" spans="1:9" ht="11.25" customHeight="1">
      <c r="A127" t="s">
        <v>2250</v>
      </c>
      <c r="B127" t="s">
        <v>16</v>
      </c>
      <c r="C127" t="s">
        <v>2681</v>
      </c>
      <c r="D127" t="s">
        <v>2682</v>
      </c>
      <c r="E127" t="s">
        <v>2683</v>
      </c>
      <c r="F127" t="s">
        <v>2330</v>
      </c>
      <c r="G127" t="s">
        <v>22</v>
      </c>
      <c r="H127" t="s">
        <v>22</v>
      </c>
      <c r="I127" t="s">
        <v>811</v>
      </c>
    </row>
    <row r="128" spans="1:9" ht="11.25" customHeight="1">
      <c r="A128" t="s">
        <v>2250</v>
      </c>
      <c r="B128" t="s">
        <v>16</v>
      </c>
      <c r="C128" t="s">
        <v>2684</v>
      </c>
      <c r="D128" t="s">
        <v>2685</v>
      </c>
      <c r="E128" t="s">
        <v>2686</v>
      </c>
      <c r="F128" t="s">
        <v>2488</v>
      </c>
      <c r="G128" t="s">
        <v>22</v>
      </c>
      <c r="H128" t="s">
        <v>22</v>
      </c>
      <c r="I128" t="s">
        <v>811</v>
      </c>
    </row>
    <row r="129" spans="1:9" ht="11.25" customHeight="1">
      <c r="A129" t="s">
        <v>2250</v>
      </c>
      <c r="B129" t="s">
        <v>16</v>
      </c>
      <c r="C129" t="s">
        <v>2687</v>
      </c>
      <c r="D129" t="s">
        <v>2688</v>
      </c>
      <c r="E129" t="s">
        <v>2689</v>
      </c>
      <c r="F129" t="s">
        <v>2690</v>
      </c>
      <c r="G129" t="s">
        <v>2691</v>
      </c>
      <c r="H129" t="s">
        <v>22</v>
      </c>
      <c r="I129" t="s">
        <v>811</v>
      </c>
    </row>
    <row r="130" spans="1:9" ht="11.25" customHeight="1">
      <c r="A130" t="s">
        <v>2250</v>
      </c>
      <c r="B130" t="s">
        <v>16</v>
      </c>
      <c r="C130" t="s">
        <v>2692</v>
      </c>
      <c r="D130" t="s">
        <v>2693</v>
      </c>
      <c r="E130" t="s">
        <v>2694</v>
      </c>
      <c r="F130" t="s">
        <v>2362</v>
      </c>
      <c r="G130" t="s">
        <v>22</v>
      </c>
      <c r="H130" t="s">
        <v>22</v>
      </c>
      <c r="I130" t="s">
        <v>811</v>
      </c>
    </row>
    <row r="131" spans="1:9" ht="11.25" customHeight="1">
      <c r="A131" t="s">
        <v>2250</v>
      </c>
      <c r="B131" t="s">
        <v>16</v>
      </c>
      <c r="C131" t="s">
        <v>2695</v>
      </c>
      <c r="D131" t="s">
        <v>2696</v>
      </c>
      <c r="E131" t="s">
        <v>2697</v>
      </c>
      <c r="F131" t="s">
        <v>2417</v>
      </c>
      <c r="G131" t="s">
        <v>22</v>
      </c>
      <c r="H131" t="s">
        <v>22</v>
      </c>
      <c r="I131" t="s">
        <v>811</v>
      </c>
    </row>
    <row r="132" spans="1:9" ht="11.25" customHeight="1">
      <c r="A132" t="s">
        <v>2250</v>
      </c>
      <c r="B132" t="s">
        <v>16</v>
      </c>
      <c r="C132" t="s">
        <v>2698</v>
      </c>
      <c r="D132" t="s">
        <v>2699</v>
      </c>
      <c r="E132" t="s">
        <v>2700</v>
      </c>
      <c r="F132" t="s">
        <v>2330</v>
      </c>
      <c r="G132" t="s">
        <v>22</v>
      </c>
      <c r="H132" t="s">
        <v>22</v>
      </c>
      <c r="I132" t="s">
        <v>811</v>
      </c>
    </row>
    <row r="133" spans="1:9" ht="11.25" customHeight="1">
      <c r="A133" t="s">
        <v>2250</v>
      </c>
      <c r="B133" t="s">
        <v>16</v>
      </c>
      <c r="C133" t="s">
        <v>2701</v>
      </c>
      <c r="D133" t="s">
        <v>2702</v>
      </c>
      <c r="E133" t="s">
        <v>2703</v>
      </c>
      <c r="F133" t="s">
        <v>2311</v>
      </c>
      <c r="G133" t="s">
        <v>22</v>
      </c>
      <c r="H133" t="s">
        <v>22</v>
      </c>
      <c r="I133" t="s">
        <v>811</v>
      </c>
    </row>
    <row r="134" spans="1:9" ht="11.25" customHeight="1">
      <c r="A134" t="s">
        <v>2250</v>
      </c>
      <c r="B134" t="s">
        <v>16</v>
      </c>
      <c r="C134" t="s">
        <v>2704</v>
      </c>
      <c r="D134" t="s">
        <v>2705</v>
      </c>
      <c r="E134" t="s">
        <v>2706</v>
      </c>
      <c r="F134" t="s">
        <v>2286</v>
      </c>
      <c r="G134" t="s">
        <v>22</v>
      </c>
      <c r="H134" t="s">
        <v>22</v>
      </c>
      <c r="I134" t="s">
        <v>811</v>
      </c>
    </row>
    <row r="135" spans="1:9" ht="11.25" customHeight="1">
      <c r="A135" t="s">
        <v>2250</v>
      </c>
      <c r="B135" t="s">
        <v>16</v>
      </c>
      <c r="C135" t="s">
        <v>2707</v>
      </c>
      <c r="D135" t="s">
        <v>2708</v>
      </c>
      <c r="E135" t="s">
        <v>2709</v>
      </c>
      <c r="F135" t="s">
        <v>2286</v>
      </c>
      <c r="G135" t="s">
        <v>22</v>
      </c>
      <c r="H135" t="s">
        <v>22</v>
      </c>
      <c r="I135" t="s">
        <v>811</v>
      </c>
    </row>
    <row r="136" spans="1:9" ht="11.25" customHeight="1">
      <c r="A136" t="s">
        <v>2250</v>
      </c>
      <c r="B136" t="s">
        <v>16</v>
      </c>
      <c r="C136" t="s">
        <v>2710</v>
      </c>
      <c r="D136" t="s">
        <v>2711</v>
      </c>
      <c r="E136" t="s">
        <v>2712</v>
      </c>
      <c r="F136" t="s">
        <v>2713</v>
      </c>
      <c r="G136" t="s">
        <v>22</v>
      </c>
      <c r="H136" t="s">
        <v>22</v>
      </c>
      <c r="I136" t="s">
        <v>811</v>
      </c>
    </row>
    <row r="137" spans="1:9" ht="11.25" customHeight="1">
      <c r="A137" t="s">
        <v>2250</v>
      </c>
      <c r="B137" t="s">
        <v>16</v>
      </c>
      <c r="C137" t="s">
        <v>2714</v>
      </c>
      <c r="D137" t="s">
        <v>2715</v>
      </c>
      <c r="E137" t="s">
        <v>2716</v>
      </c>
      <c r="F137" t="s">
        <v>2326</v>
      </c>
      <c r="G137" t="s">
        <v>22</v>
      </c>
      <c r="H137" t="s">
        <v>22</v>
      </c>
      <c r="I137" t="s">
        <v>811</v>
      </c>
    </row>
    <row r="138" spans="1:9" ht="11.25" customHeight="1">
      <c r="A138" t="s">
        <v>2250</v>
      </c>
      <c r="B138" t="s">
        <v>16</v>
      </c>
      <c r="C138" t="s">
        <v>2717</v>
      </c>
      <c r="D138" t="s">
        <v>2718</v>
      </c>
      <c r="E138" t="s">
        <v>2719</v>
      </c>
      <c r="F138" t="s">
        <v>2311</v>
      </c>
      <c r="G138" t="s">
        <v>22</v>
      </c>
      <c r="H138" t="s">
        <v>22</v>
      </c>
      <c r="I138" t="s">
        <v>811</v>
      </c>
    </row>
    <row r="139" spans="1:9" ht="11.25" customHeight="1">
      <c r="A139" t="s">
        <v>2250</v>
      </c>
      <c r="B139" t="s">
        <v>16</v>
      </c>
      <c r="C139" t="s">
        <v>2720</v>
      </c>
      <c r="D139" t="s">
        <v>2721</v>
      </c>
      <c r="E139" t="s">
        <v>2722</v>
      </c>
      <c r="F139" t="s">
        <v>2254</v>
      </c>
      <c r="G139" t="s">
        <v>22</v>
      </c>
      <c r="H139" t="s">
        <v>22</v>
      </c>
      <c r="I139" t="s">
        <v>811</v>
      </c>
    </row>
    <row r="140" spans="1:9" ht="11.25" customHeight="1">
      <c r="A140" t="s">
        <v>2250</v>
      </c>
      <c r="B140" t="s">
        <v>16</v>
      </c>
      <c r="C140" t="s">
        <v>2723</v>
      </c>
      <c r="D140" t="s">
        <v>2724</v>
      </c>
      <c r="E140" t="s">
        <v>2725</v>
      </c>
      <c r="F140" t="s">
        <v>2417</v>
      </c>
      <c r="G140" t="s">
        <v>22</v>
      </c>
      <c r="H140" t="s">
        <v>22</v>
      </c>
      <c r="I140" t="s">
        <v>811</v>
      </c>
    </row>
    <row r="141" spans="1:9" ht="11.25" customHeight="1">
      <c r="A141" t="s">
        <v>2250</v>
      </c>
      <c r="B141" t="s">
        <v>16</v>
      </c>
      <c r="C141" t="s">
        <v>2726</v>
      </c>
      <c r="D141" t="s">
        <v>2727</v>
      </c>
      <c r="E141" t="s">
        <v>2728</v>
      </c>
      <c r="F141" t="s">
        <v>2254</v>
      </c>
      <c r="G141" t="s">
        <v>22</v>
      </c>
      <c r="H141" t="s">
        <v>22</v>
      </c>
      <c r="I141" t="s">
        <v>811</v>
      </c>
    </row>
    <row r="142" spans="1:9" ht="11.25" customHeight="1">
      <c r="A142" t="s">
        <v>2250</v>
      </c>
      <c r="B142" t="s">
        <v>16</v>
      </c>
      <c r="C142" t="s">
        <v>2729</v>
      </c>
      <c r="D142" t="s">
        <v>2730</v>
      </c>
      <c r="E142" t="s">
        <v>2731</v>
      </c>
      <c r="F142" t="s">
        <v>2330</v>
      </c>
      <c r="G142" t="s">
        <v>22</v>
      </c>
      <c r="H142" t="s">
        <v>22</v>
      </c>
      <c r="I142" t="s">
        <v>811</v>
      </c>
    </row>
    <row r="143" spans="1:9" ht="11.25" customHeight="1">
      <c r="A143" t="s">
        <v>2250</v>
      </c>
      <c r="B143" t="s">
        <v>16</v>
      </c>
      <c r="C143" t="s">
        <v>2732</v>
      </c>
      <c r="D143" t="s">
        <v>2733</v>
      </c>
      <c r="E143" t="s">
        <v>2734</v>
      </c>
      <c r="F143" t="s">
        <v>2290</v>
      </c>
      <c r="G143" t="s">
        <v>22</v>
      </c>
      <c r="H143" t="s">
        <v>22</v>
      </c>
      <c r="I143" t="s">
        <v>811</v>
      </c>
    </row>
    <row r="144" spans="1:9" ht="11.25" customHeight="1">
      <c r="A144" t="s">
        <v>2250</v>
      </c>
      <c r="B144" t="s">
        <v>16</v>
      </c>
      <c r="C144" t="s">
        <v>2735</v>
      </c>
      <c r="D144" t="s">
        <v>2736</v>
      </c>
      <c r="E144" t="s">
        <v>2737</v>
      </c>
      <c r="F144" t="s">
        <v>2254</v>
      </c>
      <c r="G144" t="s">
        <v>2738</v>
      </c>
      <c r="H144" t="s">
        <v>22</v>
      </c>
      <c r="I144" t="s">
        <v>811</v>
      </c>
    </row>
    <row r="145" spans="1:9" ht="11.25" customHeight="1">
      <c r="A145" t="s">
        <v>2250</v>
      </c>
      <c r="B145" t="s">
        <v>16</v>
      </c>
      <c r="C145" t="s">
        <v>2739</v>
      </c>
      <c r="D145" t="s">
        <v>2740</v>
      </c>
      <c r="E145" t="s">
        <v>2741</v>
      </c>
      <c r="F145" t="s">
        <v>2417</v>
      </c>
      <c r="G145" t="s">
        <v>2742</v>
      </c>
      <c r="H145" t="s">
        <v>22</v>
      </c>
      <c r="I145" t="s">
        <v>811</v>
      </c>
    </row>
    <row r="146" spans="1:9" ht="11.25" customHeight="1">
      <c r="A146" t="s">
        <v>2250</v>
      </c>
      <c r="B146" t="s">
        <v>16</v>
      </c>
      <c r="C146" t="s">
        <v>2743</v>
      </c>
      <c r="D146" t="s">
        <v>2744</v>
      </c>
      <c r="E146" t="s">
        <v>2745</v>
      </c>
      <c r="F146" t="s">
        <v>2254</v>
      </c>
      <c r="G146" t="s">
        <v>22</v>
      </c>
      <c r="H146" t="s">
        <v>22</v>
      </c>
      <c r="I146" t="s">
        <v>811</v>
      </c>
    </row>
    <row r="147" spans="1:9" ht="11.25" customHeight="1">
      <c r="A147" t="s">
        <v>2250</v>
      </c>
      <c r="B147" t="s">
        <v>16</v>
      </c>
      <c r="C147" t="s">
        <v>2746</v>
      </c>
      <c r="D147" t="s">
        <v>2747</v>
      </c>
      <c r="E147" t="s">
        <v>2748</v>
      </c>
      <c r="F147" t="s">
        <v>2381</v>
      </c>
      <c r="G147" t="s">
        <v>22</v>
      </c>
      <c r="H147" t="s">
        <v>22</v>
      </c>
      <c r="I147" t="s">
        <v>811</v>
      </c>
    </row>
    <row r="148" spans="1:9" ht="11.25" customHeight="1">
      <c r="A148" t="s">
        <v>2250</v>
      </c>
      <c r="B148" t="s">
        <v>16</v>
      </c>
      <c r="C148" t="s">
        <v>2749</v>
      </c>
      <c r="D148" t="s">
        <v>2750</v>
      </c>
      <c r="E148" t="s">
        <v>2751</v>
      </c>
      <c r="F148" t="s">
        <v>2337</v>
      </c>
      <c r="G148" t="s">
        <v>2752</v>
      </c>
      <c r="H148" t="s">
        <v>22</v>
      </c>
      <c r="I148" t="s">
        <v>811</v>
      </c>
    </row>
    <row r="149" spans="1:9" ht="11.25" customHeight="1">
      <c r="A149" t="s">
        <v>2250</v>
      </c>
      <c r="B149" t="s">
        <v>16</v>
      </c>
      <c r="C149" t="s">
        <v>2753</v>
      </c>
      <c r="D149" t="s">
        <v>2754</v>
      </c>
      <c r="E149" t="s">
        <v>2755</v>
      </c>
      <c r="F149" t="s">
        <v>2254</v>
      </c>
      <c r="G149" t="s">
        <v>22</v>
      </c>
      <c r="H149" t="s">
        <v>22</v>
      </c>
      <c r="I149" t="s">
        <v>811</v>
      </c>
    </row>
    <row r="150" spans="1:9" ht="11.25" customHeight="1">
      <c r="A150" t="s">
        <v>2250</v>
      </c>
      <c r="B150" t="s">
        <v>16</v>
      </c>
      <c r="C150" t="s">
        <v>2756</v>
      </c>
      <c r="D150" t="s">
        <v>2757</v>
      </c>
      <c r="E150" t="s">
        <v>2758</v>
      </c>
      <c r="F150" t="s">
        <v>2759</v>
      </c>
      <c r="G150" t="s">
        <v>22</v>
      </c>
      <c r="H150" t="s">
        <v>22</v>
      </c>
      <c r="I150" t="s">
        <v>811</v>
      </c>
    </row>
    <row r="151" spans="1:9" ht="11.25" customHeight="1">
      <c r="A151" t="s">
        <v>2250</v>
      </c>
      <c r="B151" t="s">
        <v>16</v>
      </c>
      <c r="C151" t="s">
        <v>2760</v>
      </c>
      <c r="D151" t="s">
        <v>2761</v>
      </c>
      <c r="E151" t="s">
        <v>2762</v>
      </c>
      <c r="F151" t="s">
        <v>2661</v>
      </c>
      <c r="G151" t="s">
        <v>22</v>
      </c>
      <c r="H151" t="s">
        <v>22</v>
      </c>
      <c r="I151" t="s">
        <v>811</v>
      </c>
    </row>
    <row r="152" spans="1:9" ht="11.25" customHeight="1">
      <c r="A152" t="s">
        <v>2250</v>
      </c>
      <c r="B152" t="s">
        <v>16</v>
      </c>
      <c r="C152" t="s">
        <v>2763</v>
      </c>
      <c r="D152" t="s">
        <v>2764</v>
      </c>
      <c r="E152" t="s">
        <v>2765</v>
      </c>
      <c r="F152" t="s">
        <v>2337</v>
      </c>
      <c r="G152" t="s">
        <v>22</v>
      </c>
      <c r="H152" t="s">
        <v>22</v>
      </c>
      <c r="I152" t="s">
        <v>811</v>
      </c>
    </row>
    <row r="153" spans="1:9" ht="11.25" customHeight="1">
      <c r="A153" t="s">
        <v>2250</v>
      </c>
      <c r="B153" t="s">
        <v>16</v>
      </c>
      <c r="C153" t="s">
        <v>2766</v>
      </c>
      <c r="D153" t="s">
        <v>2767</v>
      </c>
      <c r="E153" t="s">
        <v>2768</v>
      </c>
      <c r="F153" t="s">
        <v>2254</v>
      </c>
      <c r="G153" t="s">
        <v>22</v>
      </c>
      <c r="H153" t="s">
        <v>22</v>
      </c>
      <c r="I153" t="s">
        <v>811</v>
      </c>
    </row>
    <row r="154" spans="1:9" ht="11.25" customHeight="1">
      <c r="A154" t="s">
        <v>2250</v>
      </c>
      <c r="B154" t="s">
        <v>16</v>
      </c>
      <c r="C154" t="s">
        <v>2769</v>
      </c>
      <c r="D154" t="s">
        <v>2770</v>
      </c>
      <c r="E154" t="s">
        <v>2771</v>
      </c>
      <c r="F154" t="s">
        <v>2337</v>
      </c>
      <c r="G154" t="s">
        <v>22</v>
      </c>
      <c r="H154" t="s">
        <v>22</v>
      </c>
      <c r="I154" t="s">
        <v>811</v>
      </c>
    </row>
    <row r="155" spans="1:9" ht="11.25" customHeight="1">
      <c r="A155" t="s">
        <v>2250</v>
      </c>
      <c r="B155" t="s">
        <v>16</v>
      </c>
      <c r="C155" t="s">
        <v>2772</v>
      </c>
      <c r="D155" t="s">
        <v>2773</v>
      </c>
      <c r="E155" t="s">
        <v>2774</v>
      </c>
      <c r="F155" t="s">
        <v>2258</v>
      </c>
      <c r="G155" t="s">
        <v>22</v>
      </c>
      <c r="H155" t="s">
        <v>22</v>
      </c>
      <c r="I155" t="s">
        <v>811</v>
      </c>
    </row>
    <row r="156" spans="1:9" ht="11.25" customHeight="1">
      <c r="A156" t="s">
        <v>2250</v>
      </c>
      <c r="B156" t="s">
        <v>16</v>
      </c>
      <c r="C156" t="s">
        <v>2775</v>
      </c>
      <c r="D156" t="s">
        <v>2776</v>
      </c>
      <c r="E156" t="s">
        <v>2777</v>
      </c>
      <c r="F156" t="s">
        <v>2362</v>
      </c>
      <c r="G156" t="s">
        <v>22</v>
      </c>
      <c r="H156" t="s">
        <v>22</v>
      </c>
      <c r="I156" t="s">
        <v>811</v>
      </c>
    </row>
    <row r="157" spans="1:9" ht="11.25" customHeight="1">
      <c r="A157" t="s">
        <v>2250</v>
      </c>
      <c r="B157" t="s">
        <v>16</v>
      </c>
      <c r="C157" t="s">
        <v>2778</v>
      </c>
      <c r="D157" t="s">
        <v>2779</v>
      </c>
      <c r="E157" t="s">
        <v>2780</v>
      </c>
      <c r="F157" t="s">
        <v>2318</v>
      </c>
      <c r="G157" t="s">
        <v>22</v>
      </c>
      <c r="H157" t="s">
        <v>22</v>
      </c>
      <c r="I157" t="s">
        <v>811</v>
      </c>
    </row>
    <row r="158" spans="1:9" ht="11.25" customHeight="1">
      <c r="A158" t="s">
        <v>2250</v>
      </c>
      <c r="B158" t="s">
        <v>16</v>
      </c>
      <c r="C158" t="s">
        <v>2781</v>
      </c>
      <c r="D158" t="s">
        <v>2782</v>
      </c>
      <c r="E158" t="s">
        <v>2783</v>
      </c>
      <c r="F158" t="s">
        <v>2584</v>
      </c>
      <c r="G158" t="s">
        <v>22</v>
      </c>
      <c r="H158" t="s">
        <v>22</v>
      </c>
      <c r="I158" t="s">
        <v>811</v>
      </c>
    </row>
    <row r="159" spans="1:9" ht="11.25" customHeight="1">
      <c r="A159" t="s">
        <v>2250</v>
      </c>
      <c r="B159" t="s">
        <v>16</v>
      </c>
      <c r="C159" t="s">
        <v>2784</v>
      </c>
      <c r="D159" t="s">
        <v>2785</v>
      </c>
      <c r="E159" t="s">
        <v>2786</v>
      </c>
      <c r="F159" t="s">
        <v>2258</v>
      </c>
      <c r="G159" t="s">
        <v>22</v>
      </c>
      <c r="H159" t="s">
        <v>22</v>
      </c>
      <c r="I159" t="s">
        <v>811</v>
      </c>
    </row>
    <row r="160" spans="1:9" ht="11.25" customHeight="1">
      <c r="A160" t="s">
        <v>2250</v>
      </c>
      <c r="B160" t="s">
        <v>16</v>
      </c>
      <c r="C160" t="s">
        <v>2787</v>
      </c>
      <c r="D160" t="s">
        <v>2788</v>
      </c>
      <c r="E160" t="s">
        <v>2789</v>
      </c>
      <c r="F160" t="s">
        <v>2254</v>
      </c>
      <c r="G160" t="s">
        <v>22</v>
      </c>
      <c r="H160" t="s">
        <v>22</v>
      </c>
      <c r="I160" t="s">
        <v>811</v>
      </c>
    </row>
    <row r="161" spans="1:9" ht="11.25" customHeight="1">
      <c r="A161" t="s">
        <v>2250</v>
      </c>
      <c r="B161" t="s">
        <v>16</v>
      </c>
      <c r="C161" t="s">
        <v>2790</v>
      </c>
      <c r="D161" t="s">
        <v>2791</v>
      </c>
      <c r="E161" t="s">
        <v>2792</v>
      </c>
      <c r="F161" t="s">
        <v>2326</v>
      </c>
      <c r="G161" t="s">
        <v>22</v>
      </c>
      <c r="H161" t="s">
        <v>22</v>
      </c>
      <c r="I161" t="s">
        <v>811</v>
      </c>
    </row>
    <row r="162" spans="1:9" ht="11.25" customHeight="1">
      <c r="A162" t="s">
        <v>2250</v>
      </c>
      <c r="B162" t="s">
        <v>16</v>
      </c>
      <c r="C162" t="s">
        <v>2793</v>
      </c>
      <c r="D162" t="s">
        <v>2794</v>
      </c>
      <c r="E162" t="s">
        <v>2795</v>
      </c>
      <c r="F162" t="s">
        <v>2303</v>
      </c>
      <c r="G162" t="s">
        <v>22</v>
      </c>
      <c r="H162" t="s">
        <v>22</v>
      </c>
      <c r="I162" t="s">
        <v>811</v>
      </c>
    </row>
    <row r="163" spans="1:9" ht="11.25" customHeight="1">
      <c r="A163" t="s">
        <v>2250</v>
      </c>
      <c r="B163" t="s">
        <v>16</v>
      </c>
      <c r="C163" t="s">
        <v>2796</v>
      </c>
      <c r="D163" t="s">
        <v>2797</v>
      </c>
      <c r="E163" t="s">
        <v>2798</v>
      </c>
      <c r="F163" t="s">
        <v>2303</v>
      </c>
      <c r="G163" t="s">
        <v>22</v>
      </c>
      <c r="H163" t="s">
        <v>22</v>
      </c>
      <c r="I163" t="s">
        <v>811</v>
      </c>
    </row>
    <row r="164" spans="1:9" ht="11.25" customHeight="1">
      <c r="A164" t="s">
        <v>2250</v>
      </c>
      <c r="B164" t="s">
        <v>16</v>
      </c>
      <c r="C164" t="s">
        <v>2799</v>
      </c>
      <c r="D164" t="s">
        <v>2800</v>
      </c>
      <c r="E164" t="s">
        <v>2801</v>
      </c>
      <c r="F164" t="s">
        <v>2262</v>
      </c>
      <c r="G164" t="s">
        <v>22</v>
      </c>
      <c r="H164" t="s">
        <v>22</v>
      </c>
      <c r="I164" t="s">
        <v>811</v>
      </c>
    </row>
    <row r="165" spans="1:9" ht="11.25" customHeight="1">
      <c r="A165" t="s">
        <v>2250</v>
      </c>
      <c r="B165" t="s">
        <v>16</v>
      </c>
      <c r="C165" t="s">
        <v>2802</v>
      </c>
      <c r="D165" t="s">
        <v>2803</v>
      </c>
      <c r="E165" t="s">
        <v>2804</v>
      </c>
      <c r="F165" t="s">
        <v>2647</v>
      </c>
      <c r="G165" t="s">
        <v>22</v>
      </c>
      <c r="H165" t="s">
        <v>22</v>
      </c>
      <c r="I165" t="s">
        <v>811</v>
      </c>
    </row>
    <row r="166" spans="1:9" ht="11.25" customHeight="1">
      <c r="A166" t="s">
        <v>2250</v>
      </c>
      <c r="B166" t="s">
        <v>16</v>
      </c>
      <c r="C166" t="s">
        <v>2805</v>
      </c>
      <c r="D166" t="s">
        <v>2806</v>
      </c>
      <c r="E166" t="s">
        <v>2807</v>
      </c>
      <c r="F166" t="s">
        <v>2808</v>
      </c>
      <c r="G166" t="s">
        <v>22</v>
      </c>
      <c r="H166" t="s">
        <v>22</v>
      </c>
      <c r="I166" t="s">
        <v>811</v>
      </c>
    </row>
    <row r="167" spans="1:9" ht="11.25" customHeight="1">
      <c r="A167" t="s">
        <v>2250</v>
      </c>
      <c r="B167" t="s">
        <v>16</v>
      </c>
      <c r="C167" t="s">
        <v>2809</v>
      </c>
      <c r="D167" t="s">
        <v>2810</v>
      </c>
      <c r="E167" t="s">
        <v>2811</v>
      </c>
      <c r="F167" t="s">
        <v>2326</v>
      </c>
      <c r="G167" t="s">
        <v>22</v>
      </c>
      <c r="H167" t="s">
        <v>22</v>
      </c>
      <c r="I167" t="s">
        <v>811</v>
      </c>
    </row>
    <row r="168" spans="1:9" ht="11.25" customHeight="1">
      <c r="A168" t="s">
        <v>2250</v>
      </c>
      <c r="B168" t="s">
        <v>16</v>
      </c>
      <c r="C168" t="s">
        <v>2812</v>
      </c>
      <c r="D168" t="s">
        <v>2813</v>
      </c>
      <c r="E168" t="s">
        <v>2814</v>
      </c>
      <c r="F168" t="s">
        <v>2815</v>
      </c>
      <c r="G168" t="s">
        <v>22</v>
      </c>
      <c r="H168" t="s">
        <v>22</v>
      </c>
      <c r="I168" t="s">
        <v>811</v>
      </c>
    </row>
    <row r="169" spans="1:9" ht="11.25" customHeight="1">
      <c r="A169" t="s">
        <v>2250</v>
      </c>
      <c r="B169" t="s">
        <v>16</v>
      </c>
      <c r="C169" t="s">
        <v>2816</v>
      </c>
      <c r="D169" t="s">
        <v>2813</v>
      </c>
      <c r="E169" t="s">
        <v>2817</v>
      </c>
      <c r="F169" t="s">
        <v>2818</v>
      </c>
      <c r="G169" t="s">
        <v>22</v>
      </c>
      <c r="H169" t="s">
        <v>22</v>
      </c>
      <c r="I169" t="s">
        <v>811</v>
      </c>
    </row>
    <row r="170" spans="1:9" ht="11.25" customHeight="1">
      <c r="A170" t="s">
        <v>2250</v>
      </c>
      <c r="B170" t="s">
        <v>16</v>
      </c>
      <c r="C170" t="s">
        <v>2819</v>
      </c>
      <c r="D170" t="s">
        <v>2813</v>
      </c>
      <c r="E170" t="s">
        <v>2820</v>
      </c>
      <c r="F170" t="s">
        <v>2286</v>
      </c>
      <c r="G170" t="s">
        <v>22</v>
      </c>
      <c r="H170" t="s">
        <v>22</v>
      </c>
      <c r="I170" t="s">
        <v>811</v>
      </c>
    </row>
    <row r="171" spans="1:9" ht="11.25" customHeight="1">
      <c r="A171" t="s">
        <v>2250</v>
      </c>
      <c r="B171" t="s">
        <v>16</v>
      </c>
      <c r="C171" t="s">
        <v>2821</v>
      </c>
      <c r="D171" t="s">
        <v>2822</v>
      </c>
      <c r="E171" t="s">
        <v>2823</v>
      </c>
      <c r="F171" t="s">
        <v>2254</v>
      </c>
      <c r="G171" t="s">
        <v>22</v>
      </c>
      <c r="H171" t="s">
        <v>22</v>
      </c>
      <c r="I171" t="s">
        <v>811</v>
      </c>
    </row>
    <row r="172" spans="1:9" ht="11.25" customHeight="1">
      <c r="A172" t="s">
        <v>2250</v>
      </c>
      <c r="B172" t="s">
        <v>16</v>
      </c>
      <c r="C172" t="s">
        <v>2824</v>
      </c>
      <c r="D172" t="s">
        <v>2825</v>
      </c>
      <c r="E172" t="s">
        <v>2826</v>
      </c>
      <c r="F172" t="s">
        <v>2827</v>
      </c>
      <c r="G172" t="s">
        <v>22</v>
      </c>
      <c r="H172" t="s">
        <v>22</v>
      </c>
      <c r="I172" t="s">
        <v>811</v>
      </c>
    </row>
    <row r="173" spans="1:9" ht="11.25" customHeight="1">
      <c r="A173" t="s">
        <v>2250</v>
      </c>
      <c r="B173" t="s">
        <v>16</v>
      </c>
      <c r="C173" t="s">
        <v>2828</v>
      </c>
      <c r="D173" t="s">
        <v>2829</v>
      </c>
      <c r="E173" t="s">
        <v>2830</v>
      </c>
      <c r="F173" t="s">
        <v>2674</v>
      </c>
      <c r="G173" t="s">
        <v>22</v>
      </c>
      <c r="H173" t="s">
        <v>22</v>
      </c>
      <c r="I173" t="s">
        <v>811</v>
      </c>
    </row>
    <row r="174" spans="1:9" ht="11.25" customHeight="1">
      <c r="A174" t="s">
        <v>2250</v>
      </c>
      <c r="B174" t="s">
        <v>16</v>
      </c>
      <c r="C174" t="s">
        <v>2831</v>
      </c>
      <c r="D174" t="s">
        <v>2832</v>
      </c>
      <c r="E174" t="s">
        <v>2833</v>
      </c>
      <c r="F174" t="s">
        <v>2326</v>
      </c>
      <c r="G174" t="s">
        <v>22</v>
      </c>
      <c r="H174" t="s">
        <v>22</v>
      </c>
      <c r="I174" t="s">
        <v>811</v>
      </c>
    </row>
    <row r="175" spans="1:9" ht="11.25" customHeight="1">
      <c r="A175" t="s">
        <v>2250</v>
      </c>
      <c r="B175" t="s">
        <v>16</v>
      </c>
      <c r="C175" t="s">
        <v>2834</v>
      </c>
      <c r="D175" t="s">
        <v>2835</v>
      </c>
      <c r="E175" t="s">
        <v>2836</v>
      </c>
      <c r="F175" t="s">
        <v>2674</v>
      </c>
      <c r="G175" t="s">
        <v>22</v>
      </c>
      <c r="H175" t="s">
        <v>22</v>
      </c>
      <c r="I175" t="s">
        <v>811</v>
      </c>
    </row>
    <row r="176" spans="1:9" ht="11.25" customHeight="1">
      <c r="A176" t="s">
        <v>2250</v>
      </c>
      <c r="B176" t="s">
        <v>16</v>
      </c>
      <c r="C176" t="s">
        <v>2837</v>
      </c>
      <c r="D176" t="s">
        <v>2838</v>
      </c>
      <c r="E176" t="s">
        <v>2839</v>
      </c>
      <c r="F176" t="s">
        <v>2286</v>
      </c>
      <c r="G176" t="s">
        <v>22</v>
      </c>
      <c r="H176" t="s">
        <v>22</v>
      </c>
      <c r="I176" t="s">
        <v>811</v>
      </c>
    </row>
    <row r="177" spans="1:9" ht="11.25" customHeight="1">
      <c r="A177" t="s">
        <v>2250</v>
      </c>
      <c r="B177" t="s">
        <v>16</v>
      </c>
      <c r="C177" t="s">
        <v>2840</v>
      </c>
      <c r="D177" t="s">
        <v>2841</v>
      </c>
      <c r="E177" t="s">
        <v>2842</v>
      </c>
      <c r="F177" t="s">
        <v>2273</v>
      </c>
      <c r="G177" t="s">
        <v>22</v>
      </c>
      <c r="H177" t="s">
        <v>22</v>
      </c>
      <c r="I177" t="s">
        <v>811</v>
      </c>
    </row>
    <row r="178" spans="1:9" ht="11.25" customHeight="1">
      <c r="A178" t="s">
        <v>2250</v>
      </c>
      <c r="B178" t="s">
        <v>16</v>
      </c>
      <c r="C178" t="s">
        <v>2843</v>
      </c>
      <c r="D178" t="s">
        <v>2844</v>
      </c>
      <c r="E178" t="s">
        <v>2845</v>
      </c>
      <c r="F178" t="s">
        <v>2286</v>
      </c>
      <c r="G178" t="s">
        <v>22</v>
      </c>
      <c r="H178" t="s">
        <v>22</v>
      </c>
      <c r="I178" t="s">
        <v>811</v>
      </c>
    </row>
    <row r="179" spans="1:9" ht="11.25" customHeight="1">
      <c r="A179" t="s">
        <v>2250</v>
      </c>
      <c r="B179" t="s">
        <v>16</v>
      </c>
      <c r="C179" t="s">
        <v>2846</v>
      </c>
      <c r="D179" t="s">
        <v>2847</v>
      </c>
      <c r="E179" t="s">
        <v>2848</v>
      </c>
      <c r="F179" t="s">
        <v>2254</v>
      </c>
      <c r="G179" t="s">
        <v>22</v>
      </c>
      <c r="H179" t="s">
        <v>22</v>
      </c>
      <c r="I179" t="s">
        <v>811</v>
      </c>
    </row>
    <row r="180" spans="1:9" ht="11.25" customHeight="1">
      <c r="A180" t="s">
        <v>2250</v>
      </c>
      <c r="B180" t="s">
        <v>16</v>
      </c>
      <c r="C180" t="s">
        <v>2849</v>
      </c>
      <c r="D180" t="s">
        <v>2850</v>
      </c>
      <c r="E180" t="s">
        <v>2851</v>
      </c>
      <c r="F180" t="s">
        <v>2647</v>
      </c>
      <c r="G180" t="s">
        <v>22</v>
      </c>
      <c r="H180" t="s">
        <v>22</v>
      </c>
      <c r="I180" t="s">
        <v>811</v>
      </c>
    </row>
    <row r="181" spans="1:9" ht="11.25" customHeight="1">
      <c r="A181" t="s">
        <v>2250</v>
      </c>
      <c r="B181" t="s">
        <v>16</v>
      </c>
      <c r="C181" t="s">
        <v>2852</v>
      </c>
      <c r="D181" t="s">
        <v>2853</v>
      </c>
      <c r="E181" t="s">
        <v>2854</v>
      </c>
      <c r="F181" t="s">
        <v>2326</v>
      </c>
      <c r="G181" t="s">
        <v>22</v>
      </c>
      <c r="H181" t="s">
        <v>22</v>
      </c>
      <c r="I181" t="s">
        <v>811</v>
      </c>
    </row>
    <row r="182" spans="1:9" ht="11.25" customHeight="1">
      <c r="A182" t="s">
        <v>2250</v>
      </c>
      <c r="B182" t="s">
        <v>16</v>
      </c>
      <c r="C182" t="s">
        <v>2855</v>
      </c>
      <c r="D182" t="s">
        <v>2856</v>
      </c>
      <c r="E182" t="s">
        <v>2857</v>
      </c>
      <c r="F182" t="s">
        <v>2254</v>
      </c>
      <c r="G182" t="s">
        <v>22</v>
      </c>
      <c r="H182" t="s">
        <v>22</v>
      </c>
      <c r="I182" t="s">
        <v>811</v>
      </c>
    </row>
    <row r="183" spans="1:9" ht="11.25" customHeight="1">
      <c r="A183" t="s">
        <v>2250</v>
      </c>
      <c r="B183" t="s">
        <v>16</v>
      </c>
      <c r="C183" t="s">
        <v>2858</v>
      </c>
      <c r="D183" t="s">
        <v>2859</v>
      </c>
      <c r="E183" t="s">
        <v>2860</v>
      </c>
      <c r="F183" t="s">
        <v>2307</v>
      </c>
      <c r="G183" t="s">
        <v>22</v>
      </c>
      <c r="H183" t="s">
        <v>22</v>
      </c>
      <c r="I183" t="s">
        <v>811</v>
      </c>
    </row>
    <row r="184" spans="1:9" ht="11.25" customHeight="1">
      <c r="A184" t="s">
        <v>2250</v>
      </c>
      <c r="B184" t="s">
        <v>16</v>
      </c>
      <c r="C184" t="s">
        <v>2861</v>
      </c>
      <c r="D184" t="s">
        <v>2862</v>
      </c>
      <c r="E184" t="s">
        <v>2863</v>
      </c>
      <c r="F184" t="s">
        <v>2286</v>
      </c>
      <c r="G184" t="s">
        <v>22</v>
      </c>
      <c r="H184" t="s">
        <v>22</v>
      </c>
      <c r="I184" t="s">
        <v>811</v>
      </c>
    </row>
    <row r="185" spans="1:9" ht="11.25" customHeight="1">
      <c r="A185" t="s">
        <v>2250</v>
      </c>
      <c r="B185" t="s">
        <v>16</v>
      </c>
      <c r="C185" t="s">
        <v>2864</v>
      </c>
      <c r="D185" t="s">
        <v>2865</v>
      </c>
      <c r="E185" t="s">
        <v>2866</v>
      </c>
      <c r="F185" t="s">
        <v>2362</v>
      </c>
      <c r="G185" t="s">
        <v>22</v>
      </c>
      <c r="H185" t="s">
        <v>22</v>
      </c>
      <c r="I185" t="s">
        <v>811</v>
      </c>
    </row>
    <row r="186" spans="1:9" ht="11.25" customHeight="1">
      <c r="A186" t="s">
        <v>2250</v>
      </c>
      <c r="B186" t="s">
        <v>16</v>
      </c>
      <c r="C186" t="s">
        <v>2867</v>
      </c>
      <c r="D186" t="s">
        <v>2868</v>
      </c>
      <c r="E186" t="s">
        <v>2869</v>
      </c>
      <c r="F186" t="s">
        <v>2311</v>
      </c>
      <c r="G186" t="s">
        <v>22</v>
      </c>
      <c r="H186" t="s">
        <v>22</v>
      </c>
      <c r="I186" t="s">
        <v>811</v>
      </c>
    </row>
    <row r="187" spans="1:9" ht="11.25" customHeight="1">
      <c r="A187" t="s">
        <v>2250</v>
      </c>
      <c r="B187" t="s">
        <v>16</v>
      </c>
      <c r="C187" t="s">
        <v>2870</v>
      </c>
      <c r="D187" t="s">
        <v>2871</v>
      </c>
      <c r="E187" t="s">
        <v>2872</v>
      </c>
      <c r="F187" t="s">
        <v>2322</v>
      </c>
      <c r="G187" t="s">
        <v>22</v>
      </c>
      <c r="H187" t="s">
        <v>22</v>
      </c>
      <c r="I187" t="s">
        <v>811</v>
      </c>
    </row>
    <row r="188" spans="1:9" ht="11.25" customHeight="1">
      <c r="A188" t="s">
        <v>2250</v>
      </c>
      <c r="B188" t="s">
        <v>16</v>
      </c>
      <c r="C188" t="s">
        <v>2873</v>
      </c>
      <c r="D188" t="s">
        <v>2874</v>
      </c>
      <c r="E188" t="s">
        <v>2875</v>
      </c>
      <c r="F188" t="s">
        <v>2277</v>
      </c>
      <c r="G188" t="s">
        <v>22</v>
      </c>
      <c r="H188" t="s">
        <v>22</v>
      </c>
      <c r="I188" t="s">
        <v>811</v>
      </c>
    </row>
    <row r="189" spans="1:9" ht="11.25" customHeight="1">
      <c r="A189" t="s">
        <v>2250</v>
      </c>
      <c r="B189" t="s">
        <v>16</v>
      </c>
      <c r="C189" t="s">
        <v>2876</v>
      </c>
      <c r="D189" t="s">
        <v>2877</v>
      </c>
      <c r="E189" t="s">
        <v>2878</v>
      </c>
      <c r="F189" t="s">
        <v>2602</v>
      </c>
      <c r="G189" t="s">
        <v>22</v>
      </c>
      <c r="H189" t="s">
        <v>22</v>
      </c>
      <c r="I189" t="s">
        <v>811</v>
      </c>
    </row>
    <row r="190" spans="1:9" ht="11.25" customHeight="1">
      <c r="A190" t="s">
        <v>2250</v>
      </c>
      <c r="B190" t="s">
        <v>16</v>
      </c>
      <c r="C190" t="s">
        <v>2879</v>
      </c>
      <c r="D190" t="s">
        <v>2880</v>
      </c>
      <c r="E190" t="s">
        <v>2881</v>
      </c>
      <c r="F190" t="s">
        <v>2815</v>
      </c>
      <c r="G190" t="s">
        <v>22</v>
      </c>
      <c r="H190" t="s">
        <v>22</v>
      </c>
      <c r="I190" t="s">
        <v>811</v>
      </c>
    </row>
    <row r="191" spans="1:9" ht="11.25" customHeight="1">
      <c r="A191" t="s">
        <v>2250</v>
      </c>
      <c r="B191" t="s">
        <v>16</v>
      </c>
      <c r="C191" t="s">
        <v>2882</v>
      </c>
      <c r="D191" t="s">
        <v>2883</v>
      </c>
      <c r="E191" t="s">
        <v>2884</v>
      </c>
      <c r="F191" t="s">
        <v>2674</v>
      </c>
      <c r="G191" t="s">
        <v>22</v>
      </c>
      <c r="H191" t="s">
        <v>22</v>
      </c>
      <c r="I191" t="s">
        <v>811</v>
      </c>
    </row>
    <row r="192" spans="1:9" ht="11.25" customHeight="1">
      <c r="A192" t="s">
        <v>2250</v>
      </c>
      <c r="B192" t="s">
        <v>16</v>
      </c>
      <c r="C192" t="s">
        <v>2885</v>
      </c>
      <c r="D192" t="s">
        <v>2886</v>
      </c>
      <c r="E192" t="s">
        <v>2887</v>
      </c>
      <c r="F192" t="s">
        <v>2311</v>
      </c>
      <c r="G192" t="s">
        <v>22</v>
      </c>
      <c r="H192" t="s">
        <v>22</v>
      </c>
      <c r="I192" t="s">
        <v>811</v>
      </c>
    </row>
    <row r="193" spans="1:9" ht="11.25" customHeight="1">
      <c r="A193" t="s">
        <v>2250</v>
      </c>
      <c r="B193" t="s">
        <v>16</v>
      </c>
      <c r="C193" t="s">
        <v>2888</v>
      </c>
      <c r="D193" t="s">
        <v>2889</v>
      </c>
      <c r="E193" t="s">
        <v>2890</v>
      </c>
      <c r="F193" t="s">
        <v>2891</v>
      </c>
      <c r="G193" t="s">
        <v>22</v>
      </c>
      <c r="H193" t="s">
        <v>22</v>
      </c>
      <c r="I193" t="s">
        <v>811</v>
      </c>
    </row>
    <row r="194" spans="1:9" ht="11.25" customHeight="1">
      <c r="A194" t="s">
        <v>2250</v>
      </c>
      <c r="B194" t="s">
        <v>16</v>
      </c>
      <c r="C194" t="s">
        <v>2892</v>
      </c>
      <c r="D194" t="s">
        <v>2893</v>
      </c>
      <c r="E194" t="s">
        <v>2894</v>
      </c>
      <c r="F194" t="s">
        <v>2417</v>
      </c>
      <c r="G194" t="s">
        <v>22</v>
      </c>
      <c r="H194" t="s">
        <v>22</v>
      </c>
      <c r="I194" t="s">
        <v>811</v>
      </c>
    </row>
    <row r="195" spans="1:9" ht="11.25" customHeight="1">
      <c r="A195" t="s">
        <v>2250</v>
      </c>
      <c r="B195" t="s">
        <v>16</v>
      </c>
      <c r="C195" t="s">
        <v>2895</v>
      </c>
      <c r="D195" t="s">
        <v>2893</v>
      </c>
      <c r="E195" t="s">
        <v>2894</v>
      </c>
      <c r="F195" t="s">
        <v>2269</v>
      </c>
      <c r="G195" t="s">
        <v>22</v>
      </c>
      <c r="H195" t="s">
        <v>22</v>
      </c>
      <c r="I195" t="s">
        <v>811</v>
      </c>
    </row>
    <row r="196" spans="1:9" ht="11.25" customHeight="1">
      <c r="A196" t="s">
        <v>2250</v>
      </c>
      <c r="B196" t="s">
        <v>16</v>
      </c>
      <c r="C196" t="s">
        <v>2896</v>
      </c>
      <c r="D196" t="s">
        <v>2897</v>
      </c>
      <c r="E196" t="s">
        <v>2898</v>
      </c>
      <c r="F196" t="s">
        <v>2269</v>
      </c>
      <c r="G196" t="s">
        <v>22</v>
      </c>
      <c r="H196" t="s">
        <v>22</v>
      </c>
      <c r="I196" t="s">
        <v>811</v>
      </c>
    </row>
    <row r="197" spans="1:9" ht="11.25" customHeight="1">
      <c r="A197" t="s">
        <v>2250</v>
      </c>
      <c r="B197" t="s">
        <v>16</v>
      </c>
      <c r="C197" t="s">
        <v>2899</v>
      </c>
      <c r="D197" t="s">
        <v>2900</v>
      </c>
      <c r="E197" t="s">
        <v>2433</v>
      </c>
      <c r="F197" t="s">
        <v>2901</v>
      </c>
      <c r="G197" t="s">
        <v>22</v>
      </c>
      <c r="H197" t="s">
        <v>22</v>
      </c>
      <c r="I197" t="s">
        <v>811</v>
      </c>
    </row>
    <row r="198" spans="1:9" ht="11.25" customHeight="1">
      <c r="A198" t="s">
        <v>2250</v>
      </c>
      <c r="B198" t="s">
        <v>16</v>
      </c>
      <c r="C198" t="s">
        <v>2902</v>
      </c>
      <c r="D198" t="s">
        <v>2903</v>
      </c>
      <c r="E198" t="s">
        <v>2904</v>
      </c>
      <c r="F198" t="s">
        <v>2311</v>
      </c>
      <c r="G198" t="s">
        <v>22</v>
      </c>
      <c r="H198" t="s">
        <v>22</v>
      </c>
      <c r="I198" t="s">
        <v>811</v>
      </c>
    </row>
    <row r="199" spans="1:9" ht="11.25" customHeight="1">
      <c r="A199" t="s">
        <v>2250</v>
      </c>
      <c r="B199" t="s">
        <v>16</v>
      </c>
      <c r="C199" t="s">
        <v>2905</v>
      </c>
      <c r="D199" t="s">
        <v>2906</v>
      </c>
      <c r="E199" t="s">
        <v>2907</v>
      </c>
      <c r="F199" t="s">
        <v>2908</v>
      </c>
      <c r="G199" t="s">
        <v>22</v>
      </c>
      <c r="H199" t="s">
        <v>22</v>
      </c>
      <c r="I199" t="s">
        <v>811</v>
      </c>
    </row>
    <row r="200" spans="1:9" ht="11.25" customHeight="1">
      <c r="A200" t="s">
        <v>2250</v>
      </c>
      <c r="B200" t="s">
        <v>16</v>
      </c>
      <c r="C200" t="s">
        <v>2909</v>
      </c>
      <c r="D200" t="s">
        <v>2910</v>
      </c>
      <c r="E200" t="s">
        <v>2911</v>
      </c>
      <c r="F200" t="s">
        <v>2254</v>
      </c>
      <c r="G200" t="s">
        <v>22</v>
      </c>
      <c r="H200" t="s">
        <v>22</v>
      </c>
      <c r="I200" t="s">
        <v>811</v>
      </c>
    </row>
    <row r="201" spans="1:9" ht="11.25" customHeight="1">
      <c r="A201" t="s">
        <v>2250</v>
      </c>
      <c r="B201" t="s">
        <v>16</v>
      </c>
      <c r="C201" t="s">
        <v>2912</v>
      </c>
      <c r="D201" t="s">
        <v>2913</v>
      </c>
      <c r="E201" t="s">
        <v>2914</v>
      </c>
      <c r="F201" t="s">
        <v>2254</v>
      </c>
      <c r="G201" t="s">
        <v>22</v>
      </c>
      <c r="H201" t="s">
        <v>22</v>
      </c>
      <c r="I201" t="s">
        <v>811</v>
      </c>
    </row>
    <row r="202" spans="1:9" ht="11.25" customHeight="1">
      <c r="A202" t="s">
        <v>2250</v>
      </c>
      <c r="B202" t="s">
        <v>16</v>
      </c>
      <c r="C202" t="s">
        <v>2915</v>
      </c>
      <c r="D202" t="s">
        <v>2916</v>
      </c>
      <c r="E202" t="s">
        <v>2917</v>
      </c>
      <c r="F202" t="s">
        <v>2326</v>
      </c>
      <c r="G202" t="s">
        <v>22</v>
      </c>
      <c r="H202" t="s">
        <v>22</v>
      </c>
      <c r="I202" t="s">
        <v>811</v>
      </c>
    </row>
    <row r="203" spans="1:9" ht="11.25" customHeight="1">
      <c r="A203" t="s">
        <v>2250</v>
      </c>
      <c r="B203" t="s">
        <v>16</v>
      </c>
      <c r="C203" t="s">
        <v>2918</v>
      </c>
      <c r="D203" t="s">
        <v>2919</v>
      </c>
      <c r="E203" t="s">
        <v>2920</v>
      </c>
      <c r="F203" t="s">
        <v>2921</v>
      </c>
      <c r="G203" t="s">
        <v>22</v>
      </c>
      <c r="H203" t="s">
        <v>22</v>
      </c>
      <c r="I203" t="s">
        <v>811</v>
      </c>
    </row>
    <row r="204" spans="1:9" ht="11.25" customHeight="1">
      <c r="A204" t="s">
        <v>2250</v>
      </c>
      <c r="B204" t="s">
        <v>16</v>
      </c>
      <c r="C204" t="s">
        <v>2922</v>
      </c>
      <c r="D204" t="s">
        <v>2923</v>
      </c>
      <c r="E204" t="s">
        <v>2924</v>
      </c>
      <c r="F204" t="s">
        <v>2254</v>
      </c>
      <c r="G204" t="s">
        <v>22</v>
      </c>
      <c r="H204" t="s">
        <v>22</v>
      </c>
      <c r="I204" t="s">
        <v>811</v>
      </c>
    </row>
    <row r="205" spans="1:9" ht="11.25" customHeight="1">
      <c r="A205" t="s">
        <v>2250</v>
      </c>
      <c r="B205" t="s">
        <v>16</v>
      </c>
      <c r="C205" t="s">
        <v>2925</v>
      </c>
      <c r="D205" t="s">
        <v>2926</v>
      </c>
      <c r="E205" t="s">
        <v>2927</v>
      </c>
      <c r="F205" t="s">
        <v>2318</v>
      </c>
      <c r="G205" t="s">
        <v>22</v>
      </c>
      <c r="H205" t="s">
        <v>22</v>
      </c>
      <c r="I205" t="s">
        <v>811</v>
      </c>
    </row>
    <row r="206" spans="1:9" ht="11.25" customHeight="1">
      <c r="A206" t="s">
        <v>2250</v>
      </c>
      <c r="B206" t="s">
        <v>16</v>
      </c>
      <c r="C206" t="s">
        <v>2928</v>
      </c>
      <c r="D206" t="s">
        <v>2929</v>
      </c>
      <c r="E206" t="s">
        <v>2930</v>
      </c>
      <c r="F206" t="s">
        <v>2931</v>
      </c>
      <c r="G206" t="s">
        <v>22</v>
      </c>
      <c r="H206" t="s">
        <v>22</v>
      </c>
      <c r="I206" t="s">
        <v>811</v>
      </c>
    </row>
    <row r="207" spans="1:9" ht="11.25" customHeight="1">
      <c r="A207" t="s">
        <v>2250</v>
      </c>
      <c r="B207" t="s">
        <v>16</v>
      </c>
      <c r="C207" t="s">
        <v>2932</v>
      </c>
      <c r="D207" t="s">
        <v>2933</v>
      </c>
      <c r="E207" t="s">
        <v>2934</v>
      </c>
      <c r="F207" t="s">
        <v>2935</v>
      </c>
      <c r="G207" t="s">
        <v>22</v>
      </c>
      <c r="H207" t="s">
        <v>22</v>
      </c>
      <c r="I207" t="s">
        <v>811</v>
      </c>
    </row>
    <row r="208" spans="1:9" ht="11.25" customHeight="1">
      <c r="A208" t="s">
        <v>2250</v>
      </c>
      <c r="B208" t="s">
        <v>16</v>
      </c>
      <c r="C208" t="s">
        <v>2936</v>
      </c>
      <c r="D208" t="s">
        <v>2937</v>
      </c>
      <c r="E208" t="s">
        <v>2938</v>
      </c>
      <c r="F208" t="s">
        <v>2939</v>
      </c>
      <c r="G208" t="s">
        <v>22</v>
      </c>
      <c r="H208" t="s">
        <v>22</v>
      </c>
      <c r="I208" t="s">
        <v>811</v>
      </c>
    </row>
    <row r="209" spans="1:9" ht="11.25" customHeight="1">
      <c r="A209" t="s">
        <v>2250</v>
      </c>
      <c r="B209" t="s">
        <v>16</v>
      </c>
      <c r="C209" t="s">
        <v>2940</v>
      </c>
      <c r="D209" t="s">
        <v>2941</v>
      </c>
      <c r="E209" t="s">
        <v>2920</v>
      </c>
      <c r="F209" t="s">
        <v>2942</v>
      </c>
      <c r="G209" t="s">
        <v>22</v>
      </c>
      <c r="H209" t="s">
        <v>22</v>
      </c>
      <c r="I209" t="s">
        <v>811</v>
      </c>
    </row>
    <row r="210" spans="1:9" ht="11.25" customHeight="1">
      <c r="A210" t="s">
        <v>2250</v>
      </c>
      <c r="B210" t="s">
        <v>16</v>
      </c>
      <c r="C210" t="s">
        <v>2943</v>
      </c>
      <c r="D210" t="s">
        <v>2944</v>
      </c>
      <c r="E210" t="s">
        <v>2945</v>
      </c>
      <c r="F210" t="s">
        <v>2946</v>
      </c>
      <c r="G210" t="s">
        <v>22</v>
      </c>
      <c r="H210" t="s">
        <v>22</v>
      </c>
      <c r="I210" t="s">
        <v>811</v>
      </c>
    </row>
    <row r="211" spans="1:9" ht="11.25" customHeight="1">
      <c r="A211" t="s">
        <v>2250</v>
      </c>
      <c r="B211" t="s">
        <v>16</v>
      </c>
      <c r="C211" t="s">
        <v>2255</v>
      </c>
      <c r="D211" t="s">
        <v>2256</v>
      </c>
      <c r="E211" t="s">
        <v>2257</v>
      </c>
      <c r="F211" t="s">
        <v>2258</v>
      </c>
      <c r="G211" t="s">
        <v>22</v>
      </c>
      <c r="H211" t="s">
        <v>22</v>
      </c>
      <c r="I211" t="s">
        <v>897</v>
      </c>
    </row>
    <row r="212" spans="1:9" ht="11.25" customHeight="1">
      <c r="A212" t="s">
        <v>2250</v>
      </c>
      <c r="B212" t="s">
        <v>16</v>
      </c>
      <c r="C212" t="s">
        <v>2259</v>
      </c>
      <c r="D212" t="s">
        <v>2260</v>
      </c>
      <c r="E212" t="s">
        <v>2261</v>
      </c>
      <c r="F212" t="s">
        <v>2262</v>
      </c>
      <c r="G212" t="s">
        <v>22</v>
      </c>
      <c r="H212" t="s">
        <v>22</v>
      </c>
      <c r="I212" t="s">
        <v>897</v>
      </c>
    </row>
    <row r="213" spans="1:9" ht="11.25" customHeight="1">
      <c r="A213" t="s">
        <v>2250</v>
      </c>
      <c r="B213" t="s">
        <v>16</v>
      </c>
      <c r="C213" t="s">
        <v>2274</v>
      </c>
      <c r="D213" t="s">
        <v>2275</v>
      </c>
      <c r="E213" t="s">
        <v>2276</v>
      </c>
      <c r="F213" t="s">
        <v>2277</v>
      </c>
      <c r="G213" t="s">
        <v>2278</v>
      </c>
      <c r="H213" t="s">
        <v>22</v>
      </c>
      <c r="I213" t="s">
        <v>897</v>
      </c>
    </row>
    <row r="214" spans="1:9" ht="11.25" customHeight="1">
      <c r="A214" t="s">
        <v>2250</v>
      </c>
      <c r="B214" t="s">
        <v>16</v>
      </c>
      <c r="C214" t="s">
        <v>2279</v>
      </c>
      <c r="D214" t="s">
        <v>2280</v>
      </c>
      <c r="E214" t="s">
        <v>2281</v>
      </c>
      <c r="F214" t="s">
        <v>2282</v>
      </c>
      <c r="G214" t="s">
        <v>22</v>
      </c>
      <c r="H214" t="s">
        <v>22</v>
      </c>
      <c r="I214" t="s">
        <v>897</v>
      </c>
    </row>
    <row r="215" spans="1:9" ht="11.25" customHeight="1">
      <c r="A215" t="s">
        <v>2250</v>
      </c>
      <c r="B215" t="s">
        <v>16</v>
      </c>
      <c r="C215" t="s">
        <v>2283</v>
      </c>
      <c r="D215" t="s">
        <v>2284</v>
      </c>
      <c r="E215" t="s">
        <v>2285</v>
      </c>
      <c r="F215" t="s">
        <v>2286</v>
      </c>
      <c r="G215" t="s">
        <v>22</v>
      </c>
      <c r="H215" t="s">
        <v>22</v>
      </c>
      <c r="I215" t="s">
        <v>897</v>
      </c>
    </row>
    <row r="216" spans="1:9" ht="11.25" customHeight="1">
      <c r="A216" t="s">
        <v>2250</v>
      </c>
      <c r="B216" t="s">
        <v>16</v>
      </c>
      <c r="C216" t="s">
        <v>2287</v>
      </c>
      <c r="D216" t="s">
        <v>2288</v>
      </c>
      <c r="E216" t="s">
        <v>2289</v>
      </c>
      <c r="F216" t="s">
        <v>2290</v>
      </c>
      <c r="G216" t="s">
        <v>22</v>
      </c>
      <c r="H216" t="s">
        <v>22</v>
      </c>
      <c r="I216" t="s">
        <v>897</v>
      </c>
    </row>
    <row r="217" spans="1:9" ht="11.25" customHeight="1">
      <c r="A217" t="s">
        <v>2250</v>
      </c>
      <c r="B217" t="s">
        <v>16</v>
      </c>
      <c r="C217" t="s">
        <v>2291</v>
      </c>
      <c r="D217" t="s">
        <v>2292</v>
      </c>
      <c r="E217" t="s">
        <v>2293</v>
      </c>
      <c r="F217" t="s">
        <v>2294</v>
      </c>
      <c r="G217" t="s">
        <v>22</v>
      </c>
      <c r="H217" t="s">
        <v>22</v>
      </c>
      <c r="I217" t="s">
        <v>897</v>
      </c>
    </row>
    <row r="218" spans="1:9" ht="11.25" customHeight="1">
      <c r="A218" t="s">
        <v>2250</v>
      </c>
      <c r="B218" t="s">
        <v>16</v>
      </c>
      <c r="C218" t="s">
        <v>2295</v>
      </c>
      <c r="D218" t="s">
        <v>2292</v>
      </c>
      <c r="E218" t="s">
        <v>2293</v>
      </c>
      <c r="F218" t="s">
        <v>2296</v>
      </c>
      <c r="G218" t="s">
        <v>2297</v>
      </c>
      <c r="H218" t="s">
        <v>22</v>
      </c>
      <c r="I218" t="s">
        <v>897</v>
      </c>
    </row>
    <row r="219" spans="1:9" ht="11.25" customHeight="1">
      <c r="A219" t="s">
        <v>2250</v>
      </c>
      <c r="B219" t="s">
        <v>16</v>
      </c>
      <c r="C219" t="s">
        <v>2298</v>
      </c>
      <c r="D219" t="s">
        <v>2292</v>
      </c>
      <c r="E219" t="s">
        <v>2293</v>
      </c>
      <c r="F219" t="s">
        <v>2299</v>
      </c>
      <c r="G219" t="s">
        <v>22</v>
      </c>
      <c r="H219" t="s">
        <v>22</v>
      </c>
      <c r="I219" t="s">
        <v>897</v>
      </c>
    </row>
    <row r="220" spans="1:9" ht="11.25" customHeight="1">
      <c r="A220" t="s">
        <v>2250</v>
      </c>
      <c r="B220" t="s">
        <v>16</v>
      </c>
      <c r="C220" t="s">
        <v>2300</v>
      </c>
      <c r="D220" t="s">
        <v>2301</v>
      </c>
      <c r="E220" t="s">
        <v>2302</v>
      </c>
      <c r="F220" t="s">
        <v>2303</v>
      </c>
      <c r="G220" t="s">
        <v>22</v>
      </c>
      <c r="H220" t="s">
        <v>22</v>
      </c>
      <c r="I220" t="s">
        <v>897</v>
      </c>
    </row>
    <row r="221" spans="1:9" ht="11.25" customHeight="1">
      <c r="A221" t="s">
        <v>2250</v>
      </c>
      <c r="B221" t="s">
        <v>16</v>
      </c>
      <c r="C221" t="s">
        <v>2308</v>
      </c>
      <c r="D221" t="s">
        <v>2309</v>
      </c>
      <c r="E221" t="s">
        <v>2310</v>
      </c>
      <c r="F221" t="s">
        <v>2311</v>
      </c>
      <c r="G221" t="s">
        <v>22</v>
      </c>
      <c r="H221" t="s">
        <v>22</v>
      </c>
      <c r="I221" t="s">
        <v>897</v>
      </c>
    </row>
    <row r="222" spans="1:9" ht="11.25" customHeight="1">
      <c r="A222" t="s">
        <v>2250</v>
      </c>
      <c r="B222" t="s">
        <v>16</v>
      </c>
      <c r="C222" t="s">
        <v>2312</v>
      </c>
      <c r="D222" t="s">
        <v>2313</v>
      </c>
      <c r="E222" t="s">
        <v>2314</v>
      </c>
      <c r="F222" t="s">
        <v>2311</v>
      </c>
      <c r="G222" t="s">
        <v>22</v>
      </c>
      <c r="H222" t="s">
        <v>22</v>
      </c>
      <c r="I222" t="s">
        <v>897</v>
      </c>
    </row>
    <row r="223" spans="1:9" ht="11.25" customHeight="1">
      <c r="A223" t="s">
        <v>2250</v>
      </c>
      <c r="B223" t="s">
        <v>16</v>
      </c>
      <c r="C223" t="s">
        <v>2334</v>
      </c>
      <c r="D223" t="s">
        <v>2335</v>
      </c>
      <c r="E223" t="s">
        <v>2336</v>
      </c>
      <c r="F223" t="s">
        <v>2337</v>
      </c>
      <c r="G223" t="s">
        <v>22</v>
      </c>
      <c r="H223" t="s">
        <v>22</v>
      </c>
      <c r="I223" t="s">
        <v>897</v>
      </c>
    </row>
    <row r="224" spans="1:9" ht="11.25" customHeight="1">
      <c r="A224" t="s">
        <v>2250</v>
      </c>
      <c r="B224" t="s">
        <v>16</v>
      </c>
      <c r="C224" t="s">
        <v>2356</v>
      </c>
      <c r="D224" t="s">
        <v>2357</v>
      </c>
      <c r="E224" t="s">
        <v>2358</v>
      </c>
      <c r="F224" t="s">
        <v>2326</v>
      </c>
      <c r="G224" t="s">
        <v>22</v>
      </c>
      <c r="H224" t="s">
        <v>22</v>
      </c>
      <c r="I224" t="s">
        <v>897</v>
      </c>
    </row>
    <row r="225" spans="1:9" ht="11.25" customHeight="1">
      <c r="A225" t="s">
        <v>2250</v>
      </c>
      <c r="B225" t="s">
        <v>16</v>
      </c>
      <c r="C225" t="s">
        <v>2371</v>
      </c>
      <c r="D225" t="s">
        <v>2372</v>
      </c>
      <c r="E225" t="s">
        <v>2373</v>
      </c>
      <c r="F225" t="s">
        <v>2303</v>
      </c>
      <c r="G225" t="s">
        <v>22</v>
      </c>
      <c r="H225" t="s">
        <v>22</v>
      </c>
      <c r="I225" t="s">
        <v>897</v>
      </c>
    </row>
    <row r="226" spans="1:9" ht="11.25" customHeight="1">
      <c r="A226" t="s">
        <v>2250</v>
      </c>
      <c r="B226" t="s">
        <v>16</v>
      </c>
      <c r="C226" t="s">
        <v>2378</v>
      </c>
      <c r="D226" t="s">
        <v>2379</v>
      </c>
      <c r="E226" t="s">
        <v>2380</v>
      </c>
      <c r="F226" t="s">
        <v>2381</v>
      </c>
      <c r="G226" t="s">
        <v>22</v>
      </c>
      <c r="H226" t="s">
        <v>22</v>
      </c>
      <c r="I226" t="s">
        <v>897</v>
      </c>
    </row>
    <row r="227" spans="1:9" ht="11.25" customHeight="1">
      <c r="A227" t="s">
        <v>2250</v>
      </c>
      <c r="B227" t="s">
        <v>16</v>
      </c>
      <c r="C227" t="s">
        <v>2400</v>
      </c>
      <c r="D227" t="s">
        <v>2401</v>
      </c>
      <c r="E227" t="s">
        <v>2402</v>
      </c>
      <c r="F227" t="s">
        <v>2254</v>
      </c>
      <c r="G227" t="s">
        <v>2403</v>
      </c>
      <c r="H227" t="s">
        <v>22</v>
      </c>
      <c r="I227" t="s">
        <v>897</v>
      </c>
    </row>
    <row r="228" spans="1:9" ht="11.25" customHeight="1">
      <c r="A228" t="s">
        <v>2250</v>
      </c>
      <c r="B228" t="s">
        <v>16</v>
      </c>
      <c r="C228" t="s">
        <v>2407</v>
      </c>
      <c r="D228" t="s">
        <v>2408</v>
      </c>
      <c r="E228" t="s">
        <v>2409</v>
      </c>
      <c r="F228" t="s">
        <v>2410</v>
      </c>
      <c r="G228" t="s">
        <v>22</v>
      </c>
      <c r="H228" t="s">
        <v>22</v>
      </c>
      <c r="I228" t="s">
        <v>897</v>
      </c>
    </row>
    <row r="229" spans="1:9" ht="11.25" customHeight="1">
      <c r="A229" t="s">
        <v>2250</v>
      </c>
      <c r="B229" t="s">
        <v>16</v>
      </c>
      <c r="C229" t="s">
        <v>2424</v>
      </c>
      <c r="D229" t="s">
        <v>2425</v>
      </c>
      <c r="E229" t="s">
        <v>2426</v>
      </c>
      <c r="F229" t="s">
        <v>2427</v>
      </c>
      <c r="G229" t="s">
        <v>22</v>
      </c>
      <c r="H229" t="s">
        <v>22</v>
      </c>
      <c r="I229" t="s">
        <v>897</v>
      </c>
    </row>
    <row r="230" spans="1:9" ht="11.25" customHeight="1">
      <c r="A230" t="s">
        <v>2250</v>
      </c>
      <c r="B230" t="s">
        <v>16</v>
      </c>
      <c r="C230" t="s">
        <v>22</v>
      </c>
      <c r="D230" t="s">
        <v>2441</v>
      </c>
      <c r="E230" t="s">
        <v>2442</v>
      </c>
      <c r="F230" t="s">
        <v>2254</v>
      </c>
      <c r="G230" t="s">
        <v>22</v>
      </c>
      <c r="H230" t="s">
        <v>22</v>
      </c>
      <c r="I230" t="s">
        <v>897</v>
      </c>
    </row>
    <row r="231" spans="1:9" ht="11.25" customHeight="1">
      <c r="A231" t="s">
        <v>2250</v>
      </c>
      <c r="B231" t="s">
        <v>16</v>
      </c>
      <c r="C231" t="s">
        <v>2446</v>
      </c>
      <c r="D231" t="s">
        <v>2447</v>
      </c>
      <c r="E231" t="s">
        <v>2448</v>
      </c>
      <c r="F231" t="s">
        <v>2449</v>
      </c>
      <c r="G231" t="s">
        <v>22</v>
      </c>
      <c r="H231" t="s">
        <v>22</v>
      </c>
      <c r="I231" t="s">
        <v>897</v>
      </c>
    </row>
    <row r="232" spans="1:9" ht="11.25" customHeight="1">
      <c r="A232" t="s">
        <v>2250</v>
      </c>
      <c r="B232" t="s">
        <v>16</v>
      </c>
      <c r="C232" t="s">
        <v>2481</v>
      </c>
      <c r="D232" t="s">
        <v>2482</v>
      </c>
      <c r="E232" t="s">
        <v>2483</v>
      </c>
      <c r="F232" t="s">
        <v>2484</v>
      </c>
      <c r="G232" t="s">
        <v>22</v>
      </c>
      <c r="H232" t="s">
        <v>22</v>
      </c>
      <c r="I232" t="s">
        <v>897</v>
      </c>
    </row>
    <row r="233" spans="1:9" ht="11.25" customHeight="1">
      <c r="A233" t="s">
        <v>2250</v>
      </c>
      <c r="B233" t="s">
        <v>16</v>
      </c>
      <c r="C233" t="s">
        <v>2489</v>
      </c>
      <c r="D233" t="s">
        <v>2490</v>
      </c>
      <c r="E233" t="s">
        <v>2491</v>
      </c>
      <c r="F233" t="s">
        <v>2492</v>
      </c>
      <c r="G233" t="s">
        <v>22</v>
      </c>
      <c r="H233" t="s">
        <v>22</v>
      </c>
      <c r="I233" t="s">
        <v>897</v>
      </c>
    </row>
    <row r="234" spans="1:9" ht="11.25" customHeight="1">
      <c r="A234" t="s">
        <v>2250</v>
      </c>
      <c r="B234" t="s">
        <v>16</v>
      </c>
      <c r="C234" t="s">
        <v>2497</v>
      </c>
      <c r="D234" t="s">
        <v>2498</v>
      </c>
      <c r="E234" t="s">
        <v>2499</v>
      </c>
      <c r="F234" t="s">
        <v>2286</v>
      </c>
      <c r="G234" t="s">
        <v>22</v>
      </c>
      <c r="H234" t="s">
        <v>22</v>
      </c>
      <c r="I234" t="s">
        <v>897</v>
      </c>
    </row>
    <row r="235" spans="1:9" ht="11.25" customHeight="1">
      <c r="A235" t="s">
        <v>2250</v>
      </c>
      <c r="B235" t="s">
        <v>16</v>
      </c>
      <c r="C235" t="s">
        <v>2515</v>
      </c>
      <c r="D235" t="s">
        <v>2516</v>
      </c>
      <c r="E235" t="s">
        <v>2517</v>
      </c>
      <c r="F235" t="s">
        <v>2484</v>
      </c>
      <c r="G235" t="s">
        <v>22</v>
      </c>
      <c r="H235" t="s">
        <v>22</v>
      </c>
      <c r="I235" t="s">
        <v>897</v>
      </c>
    </row>
    <row r="236" spans="1:9" ht="11.25" customHeight="1">
      <c r="A236" t="s">
        <v>2250</v>
      </c>
      <c r="B236" t="s">
        <v>16</v>
      </c>
      <c r="C236" t="s">
        <v>2518</v>
      </c>
      <c r="D236" t="s">
        <v>2519</v>
      </c>
      <c r="E236" t="s">
        <v>2520</v>
      </c>
      <c r="F236" t="s">
        <v>2521</v>
      </c>
      <c r="G236" t="s">
        <v>22</v>
      </c>
      <c r="H236" t="s">
        <v>22</v>
      </c>
      <c r="I236" t="s">
        <v>897</v>
      </c>
    </row>
    <row r="237" spans="1:9" ht="11.25" customHeight="1">
      <c r="A237" t="s">
        <v>2250</v>
      </c>
      <c r="B237" t="s">
        <v>16</v>
      </c>
      <c r="C237" t="s">
        <v>2526</v>
      </c>
      <c r="D237" t="s">
        <v>2527</v>
      </c>
      <c r="E237" t="s">
        <v>2528</v>
      </c>
      <c r="F237" t="s">
        <v>2258</v>
      </c>
      <c r="G237" t="s">
        <v>22</v>
      </c>
      <c r="H237" t="s">
        <v>22</v>
      </c>
      <c r="I237" t="s">
        <v>897</v>
      </c>
    </row>
    <row r="238" spans="1:9" ht="11.25" customHeight="1">
      <c r="A238" t="s">
        <v>2250</v>
      </c>
      <c r="B238" t="s">
        <v>16</v>
      </c>
      <c r="C238" t="s">
        <v>2540</v>
      </c>
      <c r="D238" t="s">
        <v>2541</v>
      </c>
      <c r="E238" t="s">
        <v>2542</v>
      </c>
      <c r="F238" t="s">
        <v>2543</v>
      </c>
      <c r="G238" t="s">
        <v>2544</v>
      </c>
      <c r="H238" t="s">
        <v>22</v>
      </c>
      <c r="I238" t="s">
        <v>897</v>
      </c>
    </row>
    <row r="239" spans="1:9" ht="11.25" customHeight="1">
      <c r="A239" t="s">
        <v>2250</v>
      </c>
      <c r="B239" t="s">
        <v>16</v>
      </c>
      <c r="C239" t="s">
        <v>2592</v>
      </c>
      <c r="D239" t="s">
        <v>2593</v>
      </c>
      <c r="E239" t="s">
        <v>2594</v>
      </c>
      <c r="F239" t="s">
        <v>2362</v>
      </c>
      <c r="G239" t="s">
        <v>2595</v>
      </c>
      <c r="H239" t="s">
        <v>22</v>
      </c>
      <c r="I239" t="s">
        <v>897</v>
      </c>
    </row>
    <row r="240" spans="1:9" ht="11.25" customHeight="1">
      <c r="A240" t="s">
        <v>2250</v>
      </c>
      <c r="B240" t="s">
        <v>16</v>
      </c>
      <c r="C240" t="s">
        <v>2599</v>
      </c>
      <c r="D240" t="s">
        <v>2600</v>
      </c>
      <c r="E240" t="s">
        <v>2601</v>
      </c>
      <c r="F240" t="s">
        <v>2602</v>
      </c>
      <c r="G240" t="s">
        <v>22</v>
      </c>
      <c r="H240" t="s">
        <v>22</v>
      </c>
      <c r="I240" t="s">
        <v>897</v>
      </c>
    </row>
    <row r="241" spans="1:9" ht="11.25" customHeight="1">
      <c r="A241" t="s">
        <v>2250</v>
      </c>
      <c r="B241" t="s">
        <v>16</v>
      </c>
      <c r="C241" t="s">
        <v>2603</v>
      </c>
      <c r="D241" t="s">
        <v>2604</v>
      </c>
      <c r="E241" t="s">
        <v>2605</v>
      </c>
      <c r="F241" t="s">
        <v>2303</v>
      </c>
      <c r="G241" t="s">
        <v>22</v>
      </c>
      <c r="H241" t="s">
        <v>22</v>
      </c>
      <c r="I241" t="s">
        <v>897</v>
      </c>
    </row>
    <row r="242" spans="1:9" ht="11.25" customHeight="1">
      <c r="A242" t="s">
        <v>2250</v>
      </c>
      <c r="B242" t="s">
        <v>16</v>
      </c>
      <c r="C242" t="s">
        <v>2606</v>
      </c>
      <c r="D242" t="s">
        <v>2607</v>
      </c>
      <c r="E242" t="s">
        <v>2608</v>
      </c>
      <c r="F242" t="s">
        <v>2258</v>
      </c>
      <c r="G242" t="s">
        <v>22</v>
      </c>
      <c r="H242" t="s">
        <v>22</v>
      </c>
      <c r="I242" t="s">
        <v>897</v>
      </c>
    </row>
    <row r="243" spans="1:9" ht="11.25" customHeight="1">
      <c r="A243" t="s">
        <v>2250</v>
      </c>
      <c r="B243" t="s">
        <v>16</v>
      </c>
      <c r="C243" t="s">
        <v>2618</v>
      </c>
      <c r="D243" t="s">
        <v>2619</v>
      </c>
      <c r="E243" t="s">
        <v>2620</v>
      </c>
      <c r="F243" t="s">
        <v>2303</v>
      </c>
      <c r="G243" t="s">
        <v>2621</v>
      </c>
      <c r="H243" t="s">
        <v>22</v>
      </c>
      <c r="I243" t="s">
        <v>897</v>
      </c>
    </row>
    <row r="244" spans="1:9" ht="11.25" customHeight="1">
      <c r="A244" t="s">
        <v>2250</v>
      </c>
      <c r="B244" t="s">
        <v>16</v>
      </c>
      <c r="C244" t="s">
        <v>2947</v>
      </c>
      <c r="D244" t="s">
        <v>2948</v>
      </c>
      <c r="E244" t="s">
        <v>2866</v>
      </c>
      <c r="F244" t="s">
        <v>2949</v>
      </c>
      <c r="G244" t="s">
        <v>22</v>
      </c>
      <c r="H244" t="s">
        <v>22</v>
      </c>
      <c r="I244" t="s">
        <v>897</v>
      </c>
    </row>
    <row r="245" spans="1:9" ht="11.25" customHeight="1">
      <c r="A245" t="s">
        <v>2250</v>
      </c>
      <c r="B245" t="s">
        <v>16</v>
      </c>
      <c r="C245" t="s">
        <v>2950</v>
      </c>
      <c r="D245" t="s">
        <v>2951</v>
      </c>
      <c r="E245" t="s">
        <v>2866</v>
      </c>
      <c r="F245" t="s">
        <v>2952</v>
      </c>
      <c r="G245" t="s">
        <v>22</v>
      </c>
      <c r="H245" t="s">
        <v>22</v>
      </c>
      <c r="I245" t="s">
        <v>897</v>
      </c>
    </row>
    <row r="246" spans="1:9" ht="11.25" customHeight="1">
      <c r="A246" t="s">
        <v>2250</v>
      </c>
      <c r="B246" t="s">
        <v>16</v>
      </c>
      <c r="C246" t="s">
        <v>2648</v>
      </c>
      <c r="D246" t="s">
        <v>2649</v>
      </c>
      <c r="E246" t="s">
        <v>2650</v>
      </c>
      <c r="F246" t="s">
        <v>2337</v>
      </c>
      <c r="G246" t="s">
        <v>22</v>
      </c>
      <c r="H246" t="s">
        <v>22</v>
      </c>
      <c r="I246" t="s">
        <v>897</v>
      </c>
    </row>
    <row r="247" spans="1:9" ht="11.25" customHeight="1">
      <c r="A247" t="s">
        <v>2250</v>
      </c>
      <c r="B247" t="s">
        <v>16</v>
      </c>
      <c r="C247" t="s">
        <v>2662</v>
      </c>
      <c r="D247" t="s">
        <v>2663</v>
      </c>
      <c r="E247" t="s">
        <v>2664</v>
      </c>
      <c r="F247" t="s">
        <v>2326</v>
      </c>
      <c r="G247" t="s">
        <v>22</v>
      </c>
      <c r="H247" t="s">
        <v>22</v>
      </c>
      <c r="I247" t="s">
        <v>897</v>
      </c>
    </row>
    <row r="248" spans="1:9" ht="11.25" customHeight="1">
      <c r="A248" t="s">
        <v>2250</v>
      </c>
      <c r="B248" t="s">
        <v>16</v>
      </c>
      <c r="C248" t="s">
        <v>2671</v>
      </c>
      <c r="D248" t="s">
        <v>2672</v>
      </c>
      <c r="E248" t="s">
        <v>2673</v>
      </c>
      <c r="F248" t="s">
        <v>2674</v>
      </c>
      <c r="G248" t="s">
        <v>22</v>
      </c>
      <c r="H248" t="s">
        <v>22</v>
      </c>
      <c r="I248" t="s">
        <v>897</v>
      </c>
    </row>
    <row r="249" spans="1:9" ht="11.25" customHeight="1">
      <c r="A249" t="s">
        <v>2250</v>
      </c>
      <c r="B249" t="s">
        <v>16</v>
      </c>
      <c r="C249" t="s">
        <v>2681</v>
      </c>
      <c r="D249" t="s">
        <v>2682</v>
      </c>
      <c r="E249" t="s">
        <v>2683</v>
      </c>
      <c r="F249" t="s">
        <v>2330</v>
      </c>
      <c r="G249" t="s">
        <v>22</v>
      </c>
      <c r="H249" t="s">
        <v>22</v>
      </c>
      <c r="I249" t="s">
        <v>897</v>
      </c>
    </row>
    <row r="250" spans="1:9" ht="11.25" customHeight="1">
      <c r="A250" t="s">
        <v>2250</v>
      </c>
      <c r="B250" t="s">
        <v>16</v>
      </c>
      <c r="C250" t="s">
        <v>2684</v>
      </c>
      <c r="D250" t="s">
        <v>2685</v>
      </c>
      <c r="E250" t="s">
        <v>2686</v>
      </c>
      <c r="F250" t="s">
        <v>2488</v>
      </c>
      <c r="G250" t="s">
        <v>22</v>
      </c>
      <c r="H250" t="s">
        <v>22</v>
      </c>
      <c r="I250" t="s">
        <v>897</v>
      </c>
    </row>
    <row r="251" spans="1:9" ht="11.25" customHeight="1">
      <c r="A251" t="s">
        <v>2250</v>
      </c>
      <c r="B251" t="s">
        <v>16</v>
      </c>
      <c r="C251" t="s">
        <v>2707</v>
      </c>
      <c r="D251" t="s">
        <v>2708</v>
      </c>
      <c r="E251" t="s">
        <v>2709</v>
      </c>
      <c r="F251" t="s">
        <v>2286</v>
      </c>
      <c r="G251" t="s">
        <v>22</v>
      </c>
      <c r="H251" t="s">
        <v>22</v>
      </c>
      <c r="I251" t="s">
        <v>897</v>
      </c>
    </row>
    <row r="252" spans="1:9" ht="11.25" customHeight="1">
      <c r="A252" t="s">
        <v>2250</v>
      </c>
      <c r="B252" t="s">
        <v>16</v>
      </c>
      <c r="C252" t="s">
        <v>2717</v>
      </c>
      <c r="D252" t="s">
        <v>2718</v>
      </c>
      <c r="E252" t="s">
        <v>2719</v>
      </c>
      <c r="F252" t="s">
        <v>2311</v>
      </c>
      <c r="G252" t="s">
        <v>22</v>
      </c>
      <c r="H252" t="s">
        <v>22</v>
      </c>
      <c r="I252" t="s">
        <v>897</v>
      </c>
    </row>
    <row r="253" spans="1:9" ht="11.25" customHeight="1">
      <c r="A253" t="s">
        <v>2250</v>
      </c>
      <c r="B253" t="s">
        <v>16</v>
      </c>
      <c r="C253" t="s">
        <v>2723</v>
      </c>
      <c r="D253" t="s">
        <v>2724</v>
      </c>
      <c r="E253" t="s">
        <v>2725</v>
      </c>
      <c r="F253" t="s">
        <v>2417</v>
      </c>
      <c r="G253" t="s">
        <v>22</v>
      </c>
      <c r="H253" t="s">
        <v>22</v>
      </c>
      <c r="I253" t="s">
        <v>897</v>
      </c>
    </row>
    <row r="254" spans="1:9" ht="11.25" customHeight="1">
      <c r="A254" t="s">
        <v>2250</v>
      </c>
      <c r="B254" t="s">
        <v>16</v>
      </c>
      <c r="C254" t="s">
        <v>2726</v>
      </c>
      <c r="D254" t="s">
        <v>2727</v>
      </c>
      <c r="E254" t="s">
        <v>2728</v>
      </c>
      <c r="F254" t="s">
        <v>2254</v>
      </c>
      <c r="G254" t="s">
        <v>22</v>
      </c>
      <c r="H254" t="s">
        <v>22</v>
      </c>
      <c r="I254" t="s">
        <v>897</v>
      </c>
    </row>
    <row r="255" spans="1:9" ht="11.25" customHeight="1">
      <c r="A255" t="s">
        <v>2250</v>
      </c>
      <c r="B255" t="s">
        <v>16</v>
      </c>
      <c r="C255" t="s">
        <v>2729</v>
      </c>
      <c r="D255" t="s">
        <v>2730</v>
      </c>
      <c r="E255" t="s">
        <v>2731</v>
      </c>
      <c r="F255" t="s">
        <v>2330</v>
      </c>
      <c r="G255" t="s">
        <v>22</v>
      </c>
      <c r="H255" t="s">
        <v>22</v>
      </c>
      <c r="I255" t="s">
        <v>897</v>
      </c>
    </row>
    <row r="256" spans="1:9" ht="11.25" customHeight="1">
      <c r="A256" t="s">
        <v>2250</v>
      </c>
      <c r="B256" t="s">
        <v>16</v>
      </c>
      <c r="C256" t="s">
        <v>2772</v>
      </c>
      <c r="D256" t="s">
        <v>2773</v>
      </c>
      <c r="E256" t="s">
        <v>2774</v>
      </c>
      <c r="F256" t="s">
        <v>2258</v>
      </c>
      <c r="G256" t="s">
        <v>22</v>
      </c>
      <c r="H256" t="s">
        <v>22</v>
      </c>
      <c r="I256" t="s">
        <v>897</v>
      </c>
    </row>
    <row r="257" spans="1:9" ht="11.25" customHeight="1">
      <c r="A257" t="s">
        <v>2250</v>
      </c>
      <c r="B257" t="s">
        <v>16</v>
      </c>
      <c r="C257" t="s">
        <v>2784</v>
      </c>
      <c r="D257" t="s">
        <v>2785</v>
      </c>
      <c r="E257" t="s">
        <v>2786</v>
      </c>
      <c r="F257" t="s">
        <v>2258</v>
      </c>
      <c r="G257" t="s">
        <v>22</v>
      </c>
      <c r="H257" t="s">
        <v>22</v>
      </c>
      <c r="I257" t="s">
        <v>897</v>
      </c>
    </row>
    <row r="258" spans="1:9" ht="11.25" customHeight="1">
      <c r="A258" t="s">
        <v>2250</v>
      </c>
      <c r="B258" t="s">
        <v>16</v>
      </c>
      <c r="C258" t="s">
        <v>2793</v>
      </c>
      <c r="D258" t="s">
        <v>2794</v>
      </c>
      <c r="E258" t="s">
        <v>2795</v>
      </c>
      <c r="F258" t="s">
        <v>2303</v>
      </c>
      <c r="G258" t="s">
        <v>22</v>
      </c>
      <c r="H258" t="s">
        <v>22</v>
      </c>
      <c r="I258" t="s">
        <v>897</v>
      </c>
    </row>
    <row r="259" spans="1:9" ht="11.25" customHeight="1">
      <c r="A259" t="s">
        <v>2250</v>
      </c>
      <c r="B259" t="s">
        <v>16</v>
      </c>
      <c r="C259" t="s">
        <v>2821</v>
      </c>
      <c r="D259" t="s">
        <v>2822</v>
      </c>
      <c r="E259" t="s">
        <v>2823</v>
      </c>
      <c r="F259" t="s">
        <v>2254</v>
      </c>
      <c r="G259" t="s">
        <v>22</v>
      </c>
      <c r="H259" t="s">
        <v>22</v>
      </c>
      <c r="I259" t="s">
        <v>897</v>
      </c>
    </row>
    <row r="260" spans="1:9" ht="11.25" customHeight="1">
      <c r="A260" t="s">
        <v>2250</v>
      </c>
      <c r="B260" t="s">
        <v>16</v>
      </c>
      <c r="C260" t="s">
        <v>2828</v>
      </c>
      <c r="D260" t="s">
        <v>2829</v>
      </c>
      <c r="E260" t="s">
        <v>2830</v>
      </c>
      <c r="F260" t="s">
        <v>2674</v>
      </c>
      <c r="G260" t="s">
        <v>22</v>
      </c>
      <c r="H260" t="s">
        <v>22</v>
      </c>
      <c r="I260" t="s">
        <v>897</v>
      </c>
    </row>
    <row r="261" spans="1:9" ht="11.25" customHeight="1">
      <c r="A261" t="s">
        <v>2250</v>
      </c>
      <c r="B261" t="s">
        <v>16</v>
      </c>
      <c r="C261" t="s">
        <v>2837</v>
      </c>
      <c r="D261" t="s">
        <v>2838</v>
      </c>
      <c r="E261" t="s">
        <v>2839</v>
      </c>
      <c r="F261" t="s">
        <v>2286</v>
      </c>
      <c r="G261" t="s">
        <v>22</v>
      </c>
      <c r="H261" t="s">
        <v>22</v>
      </c>
      <c r="I261" t="s">
        <v>897</v>
      </c>
    </row>
    <row r="262" spans="1:9" ht="11.25" customHeight="1">
      <c r="A262" t="s">
        <v>2250</v>
      </c>
      <c r="B262" t="s">
        <v>16</v>
      </c>
      <c r="C262" t="s">
        <v>2864</v>
      </c>
      <c r="D262" t="s">
        <v>2865</v>
      </c>
      <c r="E262" t="s">
        <v>2866</v>
      </c>
      <c r="F262" t="s">
        <v>2362</v>
      </c>
      <c r="G262" t="s">
        <v>22</v>
      </c>
      <c r="H262" t="s">
        <v>22</v>
      </c>
      <c r="I262" t="s">
        <v>897</v>
      </c>
    </row>
    <row r="263" spans="1:9" ht="11.25" customHeight="1">
      <c r="A263" t="s">
        <v>2250</v>
      </c>
      <c r="B263" t="s">
        <v>16</v>
      </c>
      <c r="C263" t="s">
        <v>2876</v>
      </c>
      <c r="D263" t="s">
        <v>2877</v>
      </c>
      <c r="E263" t="s">
        <v>2878</v>
      </c>
      <c r="F263" t="s">
        <v>2602</v>
      </c>
      <c r="G263" t="s">
        <v>22</v>
      </c>
      <c r="H263" t="s">
        <v>22</v>
      </c>
      <c r="I263" t="s">
        <v>897</v>
      </c>
    </row>
    <row r="264" spans="1:9" ht="11.25" customHeight="1">
      <c r="A264" t="s">
        <v>2250</v>
      </c>
      <c r="B264" t="s">
        <v>16</v>
      </c>
      <c r="C264" t="s">
        <v>2888</v>
      </c>
      <c r="D264" t="s">
        <v>2889</v>
      </c>
      <c r="E264" t="s">
        <v>2890</v>
      </c>
      <c r="F264" t="s">
        <v>2891</v>
      </c>
      <c r="G264" t="s">
        <v>22</v>
      </c>
      <c r="H264" t="s">
        <v>22</v>
      </c>
      <c r="I264" t="s">
        <v>897</v>
      </c>
    </row>
    <row r="265" spans="1:9" ht="11.25" customHeight="1">
      <c r="A265" t="s">
        <v>2250</v>
      </c>
      <c r="B265" t="s">
        <v>16</v>
      </c>
      <c r="C265" t="s">
        <v>2918</v>
      </c>
      <c r="D265" t="s">
        <v>2919</v>
      </c>
      <c r="E265" t="s">
        <v>2920</v>
      </c>
      <c r="F265" t="s">
        <v>2921</v>
      </c>
      <c r="G265" t="s">
        <v>22</v>
      </c>
      <c r="H265" t="s">
        <v>22</v>
      </c>
      <c r="I265" t="s">
        <v>897</v>
      </c>
    </row>
    <row r="266" spans="1:9" ht="11.25" customHeight="1">
      <c r="A266" t="s">
        <v>2250</v>
      </c>
      <c r="B266" t="s">
        <v>16</v>
      </c>
      <c r="C266" t="s">
        <v>2928</v>
      </c>
      <c r="D266" t="s">
        <v>2929</v>
      </c>
      <c r="E266" t="s">
        <v>2930</v>
      </c>
      <c r="F266" t="s">
        <v>2931</v>
      </c>
      <c r="G266" t="s">
        <v>22</v>
      </c>
      <c r="H266" t="s">
        <v>22</v>
      </c>
      <c r="I266" t="s">
        <v>897</v>
      </c>
    </row>
    <row r="267" spans="1:9" ht="11.25" customHeight="1">
      <c r="A267" t="s">
        <v>2250</v>
      </c>
      <c r="B267" t="s">
        <v>16</v>
      </c>
      <c r="C267" t="s">
        <v>2953</v>
      </c>
      <c r="D267" t="s">
        <v>2954</v>
      </c>
      <c r="E267" t="s">
        <v>2261</v>
      </c>
      <c r="F267" t="s">
        <v>2955</v>
      </c>
      <c r="G267" t="s">
        <v>22</v>
      </c>
      <c r="H267" t="s">
        <v>22</v>
      </c>
      <c r="I267" t="s">
        <v>897</v>
      </c>
    </row>
    <row r="268" spans="1:9" ht="11.25" customHeight="1">
      <c r="A268" t="s">
        <v>2250</v>
      </c>
      <c r="B268" t="s">
        <v>16</v>
      </c>
      <c r="C268" t="s">
        <v>2956</v>
      </c>
      <c r="D268" t="s">
        <v>2957</v>
      </c>
      <c r="E268" t="s">
        <v>2261</v>
      </c>
      <c r="F268" t="s">
        <v>2958</v>
      </c>
      <c r="G268" t="s">
        <v>22</v>
      </c>
      <c r="H268" t="s">
        <v>22</v>
      </c>
      <c r="I268" t="s">
        <v>897</v>
      </c>
    </row>
    <row r="269" spans="1:9" ht="11.25" customHeight="1">
      <c r="A269" t="s">
        <v>2250</v>
      </c>
      <c r="B269" t="s">
        <v>16</v>
      </c>
      <c r="C269" t="s">
        <v>2959</v>
      </c>
      <c r="D269" t="s">
        <v>2960</v>
      </c>
      <c r="E269" t="s">
        <v>2261</v>
      </c>
      <c r="F269" t="s">
        <v>2961</v>
      </c>
      <c r="G269" t="s">
        <v>22</v>
      </c>
      <c r="H269" t="s">
        <v>22</v>
      </c>
      <c r="I269" t="s">
        <v>897</v>
      </c>
    </row>
    <row r="270" spans="1:9" ht="11.25" customHeight="1">
      <c r="A270" t="s">
        <v>2250</v>
      </c>
      <c r="B270" t="s">
        <v>16</v>
      </c>
      <c r="C270" t="s">
        <v>2940</v>
      </c>
      <c r="D270" t="s">
        <v>2941</v>
      </c>
      <c r="E270" t="s">
        <v>2920</v>
      </c>
      <c r="F270" t="s">
        <v>2942</v>
      </c>
      <c r="G270" t="s">
        <v>22</v>
      </c>
      <c r="H270" t="s">
        <v>22</v>
      </c>
      <c r="I270" t="s">
        <v>897</v>
      </c>
    </row>
    <row r="271" spans="1:9" ht="11.25" customHeight="1">
      <c r="A271" t="s">
        <v>2250</v>
      </c>
      <c r="B271" t="s">
        <v>16</v>
      </c>
      <c r="C271" t="s">
        <v>2943</v>
      </c>
      <c r="D271" t="s">
        <v>2944</v>
      </c>
      <c r="E271" t="s">
        <v>2945</v>
      </c>
      <c r="F271" t="s">
        <v>2946</v>
      </c>
      <c r="G271" t="s">
        <v>22</v>
      </c>
      <c r="H271" t="s">
        <v>22</v>
      </c>
      <c r="I271" t="s">
        <v>897</v>
      </c>
    </row>
    <row r="272" spans="1:9" ht="11.25" customHeight="1">
      <c r="A272" t="s">
        <v>2250</v>
      </c>
      <c r="B272" t="s">
        <v>16</v>
      </c>
      <c r="C272" t="s">
        <v>2259</v>
      </c>
      <c r="D272" t="s">
        <v>2260</v>
      </c>
      <c r="E272" t="s">
        <v>2261</v>
      </c>
      <c r="F272" t="s">
        <v>2262</v>
      </c>
      <c r="G272" t="s">
        <v>22</v>
      </c>
      <c r="H272" t="s">
        <v>22</v>
      </c>
      <c r="I272" t="s">
        <v>857</v>
      </c>
    </row>
    <row r="273" spans="1:9" ht="11.25" customHeight="1">
      <c r="A273" t="s">
        <v>2250</v>
      </c>
      <c r="B273" t="s">
        <v>16</v>
      </c>
      <c r="C273" t="s">
        <v>2962</v>
      </c>
      <c r="D273" t="s">
        <v>2963</v>
      </c>
      <c r="E273" t="s">
        <v>2964</v>
      </c>
      <c r="F273" t="s">
        <v>2258</v>
      </c>
      <c r="G273" t="s">
        <v>22</v>
      </c>
      <c r="H273" t="s">
        <v>22</v>
      </c>
      <c r="I273" t="s">
        <v>857</v>
      </c>
    </row>
    <row r="274" spans="1:9" ht="11.25" customHeight="1">
      <c r="A274" t="s">
        <v>2250</v>
      </c>
      <c r="B274" t="s">
        <v>16</v>
      </c>
      <c r="C274" t="s">
        <v>2266</v>
      </c>
      <c r="D274" t="s">
        <v>2267</v>
      </c>
      <c r="E274" t="s">
        <v>2268</v>
      </c>
      <c r="F274" t="s">
        <v>2269</v>
      </c>
      <c r="G274" t="s">
        <v>22</v>
      </c>
      <c r="H274" t="s">
        <v>22</v>
      </c>
      <c r="I274" t="s">
        <v>857</v>
      </c>
    </row>
    <row r="275" spans="1:9" ht="11.25" customHeight="1">
      <c r="A275" t="s">
        <v>2250</v>
      </c>
      <c r="B275" t="s">
        <v>16</v>
      </c>
      <c r="C275" t="s">
        <v>2270</v>
      </c>
      <c r="D275" t="s">
        <v>2271</v>
      </c>
      <c r="E275" t="s">
        <v>2272</v>
      </c>
      <c r="F275" t="s">
        <v>2273</v>
      </c>
      <c r="G275" t="s">
        <v>22</v>
      </c>
      <c r="H275" t="s">
        <v>22</v>
      </c>
      <c r="I275" t="s">
        <v>857</v>
      </c>
    </row>
    <row r="276" spans="1:9" ht="11.25" customHeight="1">
      <c r="A276" t="s">
        <v>2250</v>
      </c>
      <c r="B276" t="s">
        <v>16</v>
      </c>
      <c r="C276" t="s">
        <v>2965</v>
      </c>
      <c r="D276" t="s">
        <v>2966</v>
      </c>
      <c r="E276" t="s">
        <v>2967</v>
      </c>
      <c r="F276" t="s">
        <v>2282</v>
      </c>
      <c r="G276" t="s">
        <v>22</v>
      </c>
      <c r="H276" t="s">
        <v>22</v>
      </c>
      <c r="I276" t="s">
        <v>857</v>
      </c>
    </row>
    <row r="277" spans="1:9" ht="11.25" customHeight="1">
      <c r="A277" t="s">
        <v>2250</v>
      </c>
      <c r="B277" t="s">
        <v>16</v>
      </c>
      <c r="C277" t="s">
        <v>2283</v>
      </c>
      <c r="D277" t="s">
        <v>2284</v>
      </c>
      <c r="E277" t="s">
        <v>2285</v>
      </c>
      <c r="F277" t="s">
        <v>2286</v>
      </c>
      <c r="G277" t="s">
        <v>22</v>
      </c>
      <c r="H277" t="s">
        <v>22</v>
      </c>
      <c r="I277" t="s">
        <v>857</v>
      </c>
    </row>
    <row r="278" spans="1:9" ht="11.25" customHeight="1">
      <c r="A278" t="s">
        <v>2250</v>
      </c>
      <c r="B278" t="s">
        <v>16</v>
      </c>
      <c r="C278" t="s">
        <v>2287</v>
      </c>
      <c r="D278" t="s">
        <v>2288</v>
      </c>
      <c r="E278" t="s">
        <v>2289</v>
      </c>
      <c r="F278" t="s">
        <v>2290</v>
      </c>
      <c r="G278" t="s">
        <v>22</v>
      </c>
      <c r="H278" t="s">
        <v>22</v>
      </c>
      <c r="I278" t="s">
        <v>857</v>
      </c>
    </row>
    <row r="279" spans="1:9" ht="11.25" customHeight="1">
      <c r="A279" t="s">
        <v>2250</v>
      </c>
      <c r="B279" t="s">
        <v>16</v>
      </c>
      <c r="C279" t="s">
        <v>2291</v>
      </c>
      <c r="D279" t="s">
        <v>2292</v>
      </c>
      <c r="E279" t="s">
        <v>2293</v>
      </c>
      <c r="F279" t="s">
        <v>2294</v>
      </c>
      <c r="G279" t="s">
        <v>22</v>
      </c>
      <c r="H279" t="s">
        <v>22</v>
      </c>
      <c r="I279" t="s">
        <v>857</v>
      </c>
    </row>
    <row r="280" spans="1:9" ht="11.25" customHeight="1">
      <c r="A280" t="s">
        <v>2250</v>
      </c>
      <c r="B280" t="s">
        <v>16</v>
      </c>
      <c r="C280" t="s">
        <v>2295</v>
      </c>
      <c r="D280" t="s">
        <v>2292</v>
      </c>
      <c r="E280" t="s">
        <v>2293</v>
      </c>
      <c r="F280" t="s">
        <v>2296</v>
      </c>
      <c r="G280" t="s">
        <v>2297</v>
      </c>
      <c r="H280" t="s">
        <v>22</v>
      </c>
      <c r="I280" t="s">
        <v>857</v>
      </c>
    </row>
    <row r="281" spans="1:9" ht="11.25" customHeight="1">
      <c r="A281" t="s">
        <v>2250</v>
      </c>
      <c r="B281" t="s">
        <v>16</v>
      </c>
      <c r="C281" t="s">
        <v>2298</v>
      </c>
      <c r="D281" t="s">
        <v>2292</v>
      </c>
      <c r="E281" t="s">
        <v>2293</v>
      </c>
      <c r="F281" t="s">
        <v>2299</v>
      </c>
      <c r="G281" t="s">
        <v>22</v>
      </c>
      <c r="H281" t="s">
        <v>22</v>
      </c>
      <c r="I281" t="s">
        <v>857</v>
      </c>
    </row>
    <row r="282" spans="1:9" ht="11.25" customHeight="1">
      <c r="A282" t="s">
        <v>2250</v>
      </c>
      <c r="B282" t="s">
        <v>16</v>
      </c>
      <c r="C282" t="s">
        <v>2968</v>
      </c>
      <c r="D282" t="s">
        <v>2969</v>
      </c>
      <c r="E282" t="s">
        <v>2970</v>
      </c>
      <c r="F282" t="s">
        <v>2311</v>
      </c>
      <c r="G282" t="s">
        <v>22</v>
      </c>
      <c r="H282" t="s">
        <v>22</v>
      </c>
      <c r="I282" t="s">
        <v>857</v>
      </c>
    </row>
    <row r="283" spans="1:9" ht="11.25" customHeight="1">
      <c r="A283" t="s">
        <v>2250</v>
      </c>
      <c r="B283" t="s">
        <v>16</v>
      </c>
      <c r="C283" t="s">
        <v>2319</v>
      </c>
      <c r="D283" t="s">
        <v>2320</v>
      </c>
      <c r="E283" t="s">
        <v>2321</v>
      </c>
      <c r="F283" t="s">
        <v>2322</v>
      </c>
      <c r="G283" t="s">
        <v>22</v>
      </c>
      <c r="H283" t="s">
        <v>22</v>
      </c>
      <c r="I283" t="s">
        <v>857</v>
      </c>
    </row>
    <row r="284" spans="1:9" ht="11.25" customHeight="1">
      <c r="A284" t="s">
        <v>2250</v>
      </c>
      <c r="B284" t="s">
        <v>16</v>
      </c>
      <c r="C284" t="s">
        <v>2323</v>
      </c>
      <c r="D284" t="s">
        <v>2324</v>
      </c>
      <c r="E284" t="s">
        <v>2325</v>
      </c>
      <c r="F284" t="s">
        <v>2326</v>
      </c>
      <c r="G284" t="s">
        <v>22</v>
      </c>
      <c r="H284" t="s">
        <v>22</v>
      </c>
      <c r="I284" t="s">
        <v>857</v>
      </c>
    </row>
    <row r="285" spans="1:9" ht="11.25" customHeight="1">
      <c r="A285" t="s">
        <v>2250</v>
      </c>
      <c r="B285" t="s">
        <v>16</v>
      </c>
      <c r="C285" t="s">
        <v>2338</v>
      </c>
      <c r="D285" t="s">
        <v>2339</v>
      </c>
      <c r="E285" t="s">
        <v>2340</v>
      </c>
      <c r="F285" t="s">
        <v>2341</v>
      </c>
      <c r="G285" t="s">
        <v>22</v>
      </c>
      <c r="H285" t="s">
        <v>22</v>
      </c>
      <c r="I285" t="s">
        <v>857</v>
      </c>
    </row>
    <row r="286" spans="1:9" ht="11.25" customHeight="1">
      <c r="A286" t="s">
        <v>2250</v>
      </c>
      <c r="B286" t="s">
        <v>16</v>
      </c>
      <c r="C286" t="s">
        <v>2971</v>
      </c>
      <c r="D286" t="s">
        <v>2972</v>
      </c>
      <c r="E286" t="s">
        <v>2973</v>
      </c>
      <c r="F286" t="s">
        <v>2341</v>
      </c>
      <c r="G286" t="s">
        <v>22</v>
      </c>
      <c r="H286" t="s">
        <v>22</v>
      </c>
      <c r="I286" t="s">
        <v>857</v>
      </c>
    </row>
    <row r="287" spans="1:9" ht="11.25" customHeight="1">
      <c r="A287" t="s">
        <v>2250</v>
      </c>
      <c r="B287" t="s">
        <v>16</v>
      </c>
      <c r="C287" t="s">
        <v>2974</v>
      </c>
      <c r="D287" t="s">
        <v>2975</v>
      </c>
      <c r="E287" t="s">
        <v>2976</v>
      </c>
      <c r="F287" t="s">
        <v>2348</v>
      </c>
      <c r="G287" t="s">
        <v>22</v>
      </c>
      <c r="H287" t="s">
        <v>22</v>
      </c>
      <c r="I287" t="s">
        <v>857</v>
      </c>
    </row>
    <row r="288" spans="1:9" ht="11.25" customHeight="1">
      <c r="A288" t="s">
        <v>2250</v>
      </c>
      <c r="B288" t="s">
        <v>16</v>
      </c>
      <c r="C288" t="s">
        <v>2349</v>
      </c>
      <c r="D288" t="s">
        <v>2350</v>
      </c>
      <c r="E288" t="s">
        <v>2351</v>
      </c>
      <c r="F288" t="s">
        <v>2330</v>
      </c>
      <c r="G288" t="s">
        <v>22</v>
      </c>
      <c r="H288" t="s">
        <v>22</v>
      </c>
      <c r="I288" t="s">
        <v>857</v>
      </c>
    </row>
    <row r="289" spans="1:9" ht="11.25" customHeight="1">
      <c r="A289" t="s">
        <v>2250</v>
      </c>
      <c r="B289" t="s">
        <v>16</v>
      </c>
      <c r="C289" t="s">
        <v>2352</v>
      </c>
      <c r="D289" t="s">
        <v>2353</v>
      </c>
      <c r="E289" t="s">
        <v>2354</v>
      </c>
      <c r="F289" t="s">
        <v>2355</v>
      </c>
      <c r="G289" t="s">
        <v>22</v>
      </c>
      <c r="H289" t="s">
        <v>22</v>
      </c>
      <c r="I289" t="s">
        <v>857</v>
      </c>
    </row>
    <row r="290" spans="1:9" ht="11.25" customHeight="1">
      <c r="A290" t="s">
        <v>2250</v>
      </c>
      <c r="B290" t="s">
        <v>16</v>
      </c>
      <c r="C290" t="s">
        <v>2363</v>
      </c>
      <c r="D290" t="s">
        <v>2364</v>
      </c>
      <c r="E290" t="s">
        <v>2365</v>
      </c>
      <c r="F290" t="s">
        <v>2366</v>
      </c>
      <c r="G290" t="s">
        <v>22</v>
      </c>
      <c r="H290" t="s">
        <v>22</v>
      </c>
      <c r="I290" t="s">
        <v>857</v>
      </c>
    </row>
    <row r="291" spans="1:9" ht="11.25" customHeight="1">
      <c r="A291" t="s">
        <v>2250</v>
      </c>
      <c r="B291" t="s">
        <v>16</v>
      </c>
      <c r="C291" t="s">
        <v>2367</v>
      </c>
      <c r="D291" t="s">
        <v>2368</v>
      </c>
      <c r="E291" t="s">
        <v>2369</v>
      </c>
      <c r="F291" t="s">
        <v>2370</v>
      </c>
      <c r="G291" t="s">
        <v>22</v>
      </c>
      <c r="H291" t="s">
        <v>22</v>
      </c>
      <c r="I291" t="s">
        <v>857</v>
      </c>
    </row>
    <row r="292" spans="1:9" ht="11.25" customHeight="1">
      <c r="A292" t="s">
        <v>2250</v>
      </c>
      <c r="B292" t="s">
        <v>16</v>
      </c>
      <c r="C292" t="s">
        <v>2371</v>
      </c>
      <c r="D292" t="s">
        <v>2372</v>
      </c>
      <c r="E292" t="s">
        <v>2373</v>
      </c>
      <c r="F292" t="s">
        <v>2303</v>
      </c>
      <c r="G292" t="s">
        <v>22</v>
      </c>
      <c r="H292" t="s">
        <v>22</v>
      </c>
      <c r="I292" t="s">
        <v>857</v>
      </c>
    </row>
    <row r="293" spans="1:9" ht="11.25" customHeight="1">
      <c r="A293" t="s">
        <v>2250</v>
      </c>
      <c r="B293" t="s">
        <v>16</v>
      </c>
      <c r="C293" t="s">
        <v>2374</v>
      </c>
      <c r="D293" t="s">
        <v>2375</v>
      </c>
      <c r="E293" t="s">
        <v>2376</v>
      </c>
      <c r="F293" t="s">
        <v>2362</v>
      </c>
      <c r="G293" t="s">
        <v>2377</v>
      </c>
      <c r="H293" t="s">
        <v>22</v>
      </c>
      <c r="I293" t="s">
        <v>857</v>
      </c>
    </row>
    <row r="294" spans="1:9" ht="11.25" customHeight="1">
      <c r="A294" t="s">
        <v>2250</v>
      </c>
      <c r="B294" t="s">
        <v>16</v>
      </c>
      <c r="C294" t="s">
        <v>2378</v>
      </c>
      <c r="D294" t="s">
        <v>2379</v>
      </c>
      <c r="E294" t="s">
        <v>2380</v>
      </c>
      <c r="F294" t="s">
        <v>2381</v>
      </c>
      <c r="G294" t="s">
        <v>22</v>
      </c>
      <c r="H294" t="s">
        <v>22</v>
      </c>
      <c r="I294" t="s">
        <v>857</v>
      </c>
    </row>
    <row r="295" spans="1:9" ht="11.25" customHeight="1">
      <c r="A295" t="s">
        <v>2250</v>
      </c>
      <c r="B295" t="s">
        <v>16</v>
      </c>
      <c r="C295" t="s">
        <v>2382</v>
      </c>
      <c r="D295" t="s">
        <v>2383</v>
      </c>
      <c r="E295" t="s">
        <v>2384</v>
      </c>
      <c r="F295" t="s">
        <v>2326</v>
      </c>
      <c r="G295" t="s">
        <v>22</v>
      </c>
      <c r="H295" t="s">
        <v>22</v>
      </c>
      <c r="I295" t="s">
        <v>857</v>
      </c>
    </row>
    <row r="296" spans="1:9" ht="11.25" customHeight="1">
      <c r="A296" t="s">
        <v>2250</v>
      </c>
      <c r="B296" t="s">
        <v>16</v>
      </c>
      <c r="C296" t="s">
        <v>2977</v>
      </c>
      <c r="D296" t="s">
        <v>2978</v>
      </c>
      <c r="E296" t="s">
        <v>2979</v>
      </c>
      <c r="F296" t="s">
        <v>2286</v>
      </c>
      <c r="G296" t="s">
        <v>22</v>
      </c>
      <c r="H296" t="s">
        <v>22</v>
      </c>
      <c r="I296" t="s">
        <v>857</v>
      </c>
    </row>
    <row r="297" spans="1:9" ht="11.25" customHeight="1">
      <c r="A297" t="s">
        <v>2250</v>
      </c>
      <c r="B297" t="s">
        <v>16</v>
      </c>
      <c r="C297" t="s">
        <v>2385</v>
      </c>
      <c r="D297" t="s">
        <v>2386</v>
      </c>
      <c r="E297" t="s">
        <v>2387</v>
      </c>
      <c r="F297" t="s">
        <v>2388</v>
      </c>
      <c r="G297" t="s">
        <v>22</v>
      </c>
      <c r="H297" t="s">
        <v>22</v>
      </c>
      <c r="I297" t="s">
        <v>857</v>
      </c>
    </row>
    <row r="298" spans="1:9" ht="11.25" customHeight="1">
      <c r="A298" t="s">
        <v>2250</v>
      </c>
      <c r="B298" t="s">
        <v>16</v>
      </c>
      <c r="C298" t="s">
        <v>2389</v>
      </c>
      <c r="D298" t="s">
        <v>2390</v>
      </c>
      <c r="E298" t="s">
        <v>2391</v>
      </c>
      <c r="F298" t="s">
        <v>2370</v>
      </c>
      <c r="G298" t="s">
        <v>22</v>
      </c>
      <c r="H298" t="s">
        <v>22</v>
      </c>
      <c r="I298" t="s">
        <v>857</v>
      </c>
    </row>
    <row r="299" spans="1:9" ht="11.25" customHeight="1">
      <c r="A299" t="s">
        <v>2250</v>
      </c>
      <c r="B299" t="s">
        <v>16</v>
      </c>
      <c r="C299" t="s">
        <v>2392</v>
      </c>
      <c r="D299" t="s">
        <v>2393</v>
      </c>
      <c r="E299" t="s">
        <v>2394</v>
      </c>
      <c r="F299" t="s">
        <v>2286</v>
      </c>
      <c r="G299" t="s">
        <v>2395</v>
      </c>
      <c r="H299" t="s">
        <v>22</v>
      </c>
      <c r="I299" t="s">
        <v>857</v>
      </c>
    </row>
    <row r="300" spans="1:9" ht="11.25" customHeight="1">
      <c r="A300" t="s">
        <v>2250</v>
      </c>
      <c r="B300" t="s">
        <v>16</v>
      </c>
      <c r="C300" t="s">
        <v>2396</v>
      </c>
      <c r="D300" t="s">
        <v>2397</v>
      </c>
      <c r="E300" t="s">
        <v>2398</v>
      </c>
      <c r="F300" t="s">
        <v>2399</v>
      </c>
      <c r="G300" t="s">
        <v>22</v>
      </c>
      <c r="H300" t="s">
        <v>22</v>
      </c>
      <c r="I300" t="s">
        <v>857</v>
      </c>
    </row>
    <row r="301" spans="1:9" ht="11.25" customHeight="1">
      <c r="A301" t="s">
        <v>2250</v>
      </c>
      <c r="B301" t="s">
        <v>16</v>
      </c>
      <c r="C301" t="s">
        <v>2400</v>
      </c>
      <c r="D301" t="s">
        <v>2401</v>
      </c>
      <c r="E301" t="s">
        <v>2402</v>
      </c>
      <c r="F301" t="s">
        <v>2254</v>
      </c>
      <c r="G301" t="s">
        <v>2403</v>
      </c>
      <c r="H301" t="s">
        <v>22</v>
      </c>
      <c r="I301" t="s">
        <v>857</v>
      </c>
    </row>
    <row r="302" spans="1:9" ht="11.25" customHeight="1">
      <c r="A302" t="s">
        <v>2250</v>
      </c>
      <c r="B302" t="s">
        <v>16</v>
      </c>
      <c r="C302" t="s">
        <v>2980</v>
      </c>
      <c r="D302" t="s">
        <v>2981</v>
      </c>
      <c r="E302" t="s">
        <v>2982</v>
      </c>
      <c r="F302" t="s">
        <v>2410</v>
      </c>
      <c r="G302" t="s">
        <v>22</v>
      </c>
      <c r="H302" t="s">
        <v>22</v>
      </c>
      <c r="I302" t="s">
        <v>857</v>
      </c>
    </row>
    <row r="303" spans="1:9" ht="11.25" customHeight="1">
      <c r="A303" t="s">
        <v>2250</v>
      </c>
      <c r="B303" t="s">
        <v>16</v>
      </c>
      <c r="C303" t="s">
        <v>2411</v>
      </c>
      <c r="D303" t="s">
        <v>2412</v>
      </c>
      <c r="E303" t="s">
        <v>2413</v>
      </c>
      <c r="F303" t="s">
        <v>2254</v>
      </c>
      <c r="G303" t="s">
        <v>22</v>
      </c>
      <c r="H303" t="s">
        <v>22</v>
      </c>
      <c r="I303" t="s">
        <v>857</v>
      </c>
    </row>
    <row r="304" spans="1:9" ht="11.25" customHeight="1">
      <c r="A304" t="s">
        <v>2250</v>
      </c>
      <c r="B304" t="s">
        <v>16</v>
      </c>
      <c r="C304" t="s">
        <v>2983</v>
      </c>
      <c r="D304" t="s">
        <v>2984</v>
      </c>
      <c r="E304" t="s">
        <v>2985</v>
      </c>
      <c r="F304" t="s">
        <v>2602</v>
      </c>
      <c r="G304" t="s">
        <v>22</v>
      </c>
      <c r="H304" t="s">
        <v>22</v>
      </c>
      <c r="I304" t="s">
        <v>857</v>
      </c>
    </row>
    <row r="305" spans="1:9" ht="11.25" customHeight="1">
      <c r="A305" t="s">
        <v>2250</v>
      </c>
      <c r="B305" t="s">
        <v>16</v>
      </c>
      <c r="C305" t="s">
        <v>2418</v>
      </c>
      <c r="D305" t="s">
        <v>2419</v>
      </c>
      <c r="E305" t="s">
        <v>2420</v>
      </c>
      <c r="F305" t="s">
        <v>2388</v>
      </c>
      <c r="G305" t="s">
        <v>22</v>
      </c>
      <c r="H305" t="s">
        <v>22</v>
      </c>
      <c r="I305" t="s">
        <v>857</v>
      </c>
    </row>
    <row r="306" spans="1:9" ht="11.25" customHeight="1">
      <c r="A306" t="s">
        <v>2250</v>
      </c>
      <c r="B306" t="s">
        <v>16</v>
      </c>
      <c r="C306" t="s">
        <v>22</v>
      </c>
      <c r="D306" t="s">
        <v>2441</v>
      </c>
      <c r="E306" t="s">
        <v>2442</v>
      </c>
      <c r="F306" t="s">
        <v>2254</v>
      </c>
      <c r="G306" t="s">
        <v>22</v>
      </c>
      <c r="H306" t="s">
        <v>22</v>
      </c>
      <c r="I306" t="s">
        <v>857</v>
      </c>
    </row>
    <row r="307" spans="1:9" ht="11.25" customHeight="1">
      <c r="A307" t="s">
        <v>2250</v>
      </c>
      <c r="B307" t="s">
        <v>16</v>
      </c>
      <c r="C307" t="s">
        <v>2446</v>
      </c>
      <c r="D307" t="s">
        <v>2447</v>
      </c>
      <c r="E307" t="s">
        <v>2448</v>
      </c>
      <c r="F307" t="s">
        <v>2449</v>
      </c>
      <c r="G307" t="s">
        <v>22</v>
      </c>
      <c r="H307" t="s">
        <v>22</v>
      </c>
      <c r="I307" t="s">
        <v>857</v>
      </c>
    </row>
    <row r="308" spans="1:9" ht="11.25" customHeight="1">
      <c r="A308" t="s">
        <v>2250</v>
      </c>
      <c r="B308" t="s">
        <v>16</v>
      </c>
      <c r="C308" t="s">
        <v>2986</v>
      </c>
      <c r="D308" t="s">
        <v>2987</v>
      </c>
      <c r="E308" t="s">
        <v>2988</v>
      </c>
      <c r="F308" t="s">
        <v>579</v>
      </c>
      <c r="G308" t="s">
        <v>22</v>
      </c>
      <c r="H308" t="s">
        <v>22</v>
      </c>
      <c r="I308" t="s">
        <v>857</v>
      </c>
    </row>
    <row r="309" spans="1:9" ht="11.25" customHeight="1">
      <c r="A309" t="s">
        <v>2250</v>
      </c>
      <c r="B309" t="s">
        <v>16</v>
      </c>
      <c r="C309" t="s">
        <v>2989</v>
      </c>
      <c r="D309" t="s">
        <v>2990</v>
      </c>
      <c r="E309" t="s">
        <v>2991</v>
      </c>
      <c r="F309" t="s">
        <v>579</v>
      </c>
      <c r="G309" t="s">
        <v>22</v>
      </c>
      <c r="H309" t="s">
        <v>22</v>
      </c>
      <c r="I309" t="s">
        <v>857</v>
      </c>
    </row>
    <row r="310" spans="1:9" ht="11.25" customHeight="1">
      <c r="A310" t="s">
        <v>2250</v>
      </c>
      <c r="B310" t="s">
        <v>16</v>
      </c>
      <c r="C310" t="s">
        <v>2992</v>
      </c>
      <c r="D310" t="s">
        <v>2993</v>
      </c>
      <c r="E310" t="s">
        <v>2994</v>
      </c>
      <c r="F310" t="s">
        <v>579</v>
      </c>
      <c r="G310" t="s">
        <v>22</v>
      </c>
      <c r="H310" t="s">
        <v>22</v>
      </c>
      <c r="I310" t="s">
        <v>857</v>
      </c>
    </row>
    <row r="311" spans="1:9" ht="11.25" customHeight="1">
      <c r="A311" t="s">
        <v>2250</v>
      </c>
      <c r="B311" t="s">
        <v>16</v>
      </c>
      <c r="C311" t="s">
        <v>2995</v>
      </c>
      <c r="D311" t="s">
        <v>2996</v>
      </c>
      <c r="E311" t="s">
        <v>2997</v>
      </c>
      <c r="F311" t="s">
        <v>579</v>
      </c>
      <c r="G311" t="s">
        <v>22</v>
      </c>
      <c r="H311" t="s">
        <v>22</v>
      </c>
      <c r="I311" t="s">
        <v>857</v>
      </c>
    </row>
    <row r="312" spans="1:9" ht="11.25" customHeight="1">
      <c r="A312" t="s">
        <v>2250</v>
      </c>
      <c r="B312" t="s">
        <v>16</v>
      </c>
      <c r="C312" t="s">
        <v>2466</v>
      </c>
      <c r="D312" t="s">
        <v>2467</v>
      </c>
      <c r="E312" t="s">
        <v>2402</v>
      </c>
      <c r="F312" t="s">
        <v>2468</v>
      </c>
      <c r="G312" t="s">
        <v>22</v>
      </c>
      <c r="H312" t="s">
        <v>22</v>
      </c>
      <c r="I312" t="s">
        <v>857</v>
      </c>
    </row>
    <row r="313" spans="1:9" ht="11.25" customHeight="1">
      <c r="A313" t="s">
        <v>2250</v>
      </c>
      <c r="B313" t="s">
        <v>16</v>
      </c>
      <c r="C313" t="s">
        <v>2469</v>
      </c>
      <c r="D313" t="s">
        <v>2470</v>
      </c>
      <c r="E313" t="s">
        <v>2402</v>
      </c>
      <c r="F313" t="s">
        <v>2471</v>
      </c>
      <c r="G313" t="s">
        <v>22</v>
      </c>
      <c r="H313" t="s">
        <v>22</v>
      </c>
      <c r="I313" t="s">
        <v>857</v>
      </c>
    </row>
    <row r="314" spans="1:9" ht="11.25" customHeight="1">
      <c r="A314" t="s">
        <v>2250</v>
      </c>
      <c r="B314" t="s">
        <v>16</v>
      </c>
      <c r="C314" t="s">
        <v>2998</v>
      </c>
      <c r="D314" t="s">
        <v>2999</v>
      </c>
      <c r="E314" t="s">
        <v>3000</v>
      </c>
      <c r="F314" t="s">
        <v>3001</v>
      </c>
      <c r="G314" t="s">
        <v>22</v>
      </c>
      <c r="H314" t="s">
        <v>22</v>
      </c>
      <c r="I314" t="s">
        <v>857</v>
      </c>
    </row>
    <row r="315" spans="1:9" ht="11.25" customHeight="1">
      <c r="A315" t="s">
        <v>2250</v>
      </c>
      <c r="B315" t="s">
        <v>16</v>
      </c>
      <c r="C315" t="s">
        <v>2475</v>
      </c>
      <c r="D315" t="s">
        <v>2476</v>
      </c>
      <c r="E315" t="s">
        <v>2413</v>
      </c>
      <c r="F315" t="s">
        <v>2477</v>
      </c>
      <c r="G315" t="s">
        <v>22</v>
      </c>
      <c r="H315" t="s">
        <v>22</v>
      </c>
      <c r="I315" t="s">
        <v>857</v>
      </c>
    </row>
    <row r="316" spans="1:9" ht="11.25" customHeight="1">
      <c r="A316" t="s">
        <v>2250</v>
      </c>
      <c r="B316" t="s">
        <v>16</v>
      </c>
      <c r="C316" t="s">
        <v>2478</v>
      </c>
      <c r="D316" t="s">
        <v>2479</v>
      </c>
      <c r="E316" t="s">
        <v>2448</v>
      </c>
      <c r="F316" t="s">
        <v>2480</v>
      </c>
      <c r="G316" t="s">
        <v>22</v>
      </c>
      <c r="H316" t="s">
        <v>22</v>
      </c>
      <c r="I316" t="s">
        <v>857</v>
      </c>
    </row>
    <row r="317" spans="1:9" ht="11.25" customHeight="1">
      <c r="A317" t="s">
        <v>2250</v>
      </c>
      <c r="B317" t="s">
        <v>16</v>
      </c>
      <c r="C317" t="s">
        <v>2481</v>
      </c>
      <c r="D317" t="s">
        <v>2482</v>
      </c>
      <c r="E317" t="s">
        <v>2483</v>
      </c>
      <c r="F317" t="s">
        <v>2484</v>
      </c>
      <c r="G317" t="s">
        <v>22</v>
      </c>
      <c r="H317" t="s">
        <v>22</v>
      </c>
      <c r="I317" t="s">
        <v>857</v>
      </c>
    </row>
    <row r="318" spans="1:9" ht="11.25" customHeight="1">
      <c r="A318" t="s">
        <v>2250</v>
      </c>
      <c r="B318" t="s">
        <v>16</v>
      </c>
      <c r="C318" t="s">
        <v>2485</v>
      </c>
      <c r="D318" t="s">
        <v>2486</v>
      </c>
      <c r="E318" t="s">
        <v>2487</v>
      </c>
      <c r="F318" t="s">
        <v>2488</v>
      </c>
      <c r="G318" t="s">
        <v>22</v>
      </c>
      <c r="H318" t="s">
        <v>22</v>
      </c>
      <c r="I318" t="s">
        <v>857</v>
      </c>
    </row>
    <row r="319" spans="1:9" ht="11.25" customHeight="1">
      <c r="A319" t="s">
        <v>2250</v>
      </c>
      <c r="B319" t="s">
        <v>16</v>
      </c>
      <c r="C319" t="s">
        <v>2489</v>
      </c>
      <c r="D319" t="s">
        <v>2490</v>
      </c>
      <c r="E319" t="s">
        <v>2491</v>
      </c>
      <c r="F319" t="s">
        <v>2492</v>
      </c>
      <c r="G319" t="s">
        <v>22</v>
      </c>
      <c r="H319" t="s">
        <v>22</v>
      </c>
      <c r="I319" t="s">
        <v>857</v>
      </c>
    </row>
    <row r="320" spans="1:9" ht="11.25" customHeight="1">
      <c r="A320" t="s">
        <v>2250</v>
      </c>
      <c r="B320" t="s">
        <v>16</v>
      </c>
      <c r="C320" t="s">
        <v>2497</v>
      </c>
      <c r="D320" t="s">
        <v>2498</v>
      </c>
      <c r="E320" t="s">
        <v>2499</v>
      </c>
      <c r="F320" t="s">
        <v>2286</v>
      </c>
      <c r="G320" t="s">
        <v>22</v>
      </c>
      <c r="H320" t="s">
        <v>22</v>
      </c>
      <c r="I320" t="s">
        <v>857</v>
      </c>
    </row>
    <row r="321" spans="1:9" ht="11.25" customHeight="1">
      <c r="A321" t="s">
        <v>2250</v>
      </c>
      <c r="B321" t="s">
        <v>16</v>
      </c>
      <c r="C321" t="s">
        <v>3002</v>
      </c>
      <c r="D321" t="s">
        <v>3003</v>
      </c>
      <c r="E321" t="s">
        <v>3004</v>
      </c>
      <c r="F321" t="s">
        <v>2588</v>
      </c>
      <c r="G321" t="s">
        <v>22</v>
      </c>
      <c r="H321" t="s">
        <v>22</v>
      </c>
      <c r="I321" t="s">
        <v>857</v>
      </c>
    </row>
    <row r="322" spans="1:9" ht="11.25" customHeight="1">
      <c r="A322" t="s">
        <v>2250</v>
      </c>
      <c r="B322" t="s">
        <v>16</v>
      </c>
      <c r="C322" t="s">
        <v>2500</v>
      </c>
      <c r="D322" t="s">
        <v>2501</v>
      </c>
      <c r="E322" t="s">
        <v>2502</v>
      </c>
      <c r="F322" t="s">
        <v>2503</v>
      </c>
      <c r="G322" t="s">
        <v>22</v>
      </c>
      <c r="H322" t="s">
        <v>22</v>
      </c>
      <c r="I322" t="s">
        <v>857</v>
      </c>
    </row>
    <row r="323" spans="1:9" ht="11.25" customHeight="1">
      <c r="A323" t="s">
        <v>2250</v>
      </c>
      <c r="B323" t="s">
        <v>16</v>
      </c>
      <c r="C323" t="s">
        <v>2504</v>
      </c>
      <c r="D323" t="s">
        <v>2505</v>
      </c>
      <c r="E323" t="s">
        <v>2506</v>
      </c>
      <c r="F323" t="s">
        <v>2326</v>
      </c>
      <c r="G323" t="s">
        <v>22</v>
      </c>
      <c r="H323" t="s">
        <v>22</v>
      </c>
      <c r="I323" t="s">
        <v>857</v>
      </c>
    </row>
    <row r="324" spans="1:9" ht="11.25" customHeight="1">
      <c r="A324" t="s">
        <v>2250</v>
      </c>
      <c r="B324" t="s">
        <v>16</v>
      </c>
      <c r="C324" t="s">
        <v>3005</v>
      </c>
      <c r="D324" t="s">
        <v>3006</v>
      </c>
      <c r="E324" t="s">
        <v>3007</v>
      </c>
      <c r="F324" t="s">
        <v>2370</v>
      </c>
      <c r="G324" t="s">
        <v>22</v>
      </c>
      <c r="H324" t="s">
        <v>22</v>
      </c>
      <c r="I324" t="s">
        <v>857</v>
      </c>
    </row>
    <row r="325" spans="1:9" ht="11.25" customHeight="1">
      <c r="A325" t="s">
        <v>2250</v>
      </c>
      <c r="B325" t="s">
        <v>16</v>
      </c>
      <c r="C325" t="s">
        <v>3008</v>
      </c>
      <c r="D325" t="s">
        <v>3009</v>
      </c>
      <c r="E325" t="s">
        <v>3010</v>
      </c>
      <c r="F325" t="s">
        <v>2303</v>
      </c>
      <c r="G325" t="s">
        <v>3011</v>
      </c>
      <c r="H325" t="s">
        <v>22</v>
      </c>
      <c r="I325" t="s">
        <v>857</v>
      </c>
    </row>
    <row r="326" spans="1:9" ht="11.25" customHeight="1">
      <c r="A326" t="s">
        <v>2250</v>
      </c>
      <c r="B326" t="s">
        <v>16</v>
      </c>
      <c r="C326" t="s">
        <v>3012</v>
      </c>
      <c r="D326" t="s">
        <v>3013</v>
      </c>
      <c r="E326" t="s">
        <v>3014</v>
      </c>
      <c r="F326" t="s">
        <v>2258</v>
      </c>
      <c r="G326" t="s">
        <v>22</v>
      </c>
      <c r="H326" t="s">
        <v>22</v>
      </c>
      <c r="I326" t="s">
        <v>857</v>
      </c>
    </row>
    <row r="327" spans="1:9" ht="11.25" customHeight="1">
      <c r="A327" t="s">
        <v>2250</v>
      </c>
      <c r="B327" t="s">
        <v>16</v>
      </c>
      <c r="C327" t="s">
        <v>2507</v>
      </c>
      <c r="D327" t="s">
        <v>2508</v>
      </c>
      <c r="E327" t="s">
        <v>2509</v>
      </c>
      <c r="F327" t="s">
        <v>2510</v>
      </c>
      <c r="G327" t="s">
        <v>22</v>
      </c>
      <c r="H327" t="s">
        <v>22</v>
      </c>
      <c r="I327" t="s">
        <v>857</v>
      </c>
    </row>
    <row r="328" spans="1:9" ht="11.25" customHeight="1">
      <c r="A328" t="s">
        <v>2250</v>
      </c>
      <c r="B328" t="s">
        <v>16</v>
      </c>
      <c r="C328" t="s">
        <v>2511</v>
      </c>
      <c r="D328" t="s">
        <v>2512</v>
      </c>
      <c r="E328" t="s">
        <v>2513</v>
      </c>
      <c r="F328" t="s">
        <v>2514</v>
      </c>
      <c r="G328" t="s">
        <v>22</v>
      </c>
      <c r="H328" t="s">
        <v>22</v>
      </c>
      <c r="I328" t="s">
        <v>857</v>
      </c>
    </row>
    <row r="329" spans="1:9" ht="11.25" customHeight="1">
      <c r="A329" t="s">
        <v>2250</v>
      </c>
      <c r="B329" t="s">
        <v>16</v>
      </c>
      <c r="C329" t="s">
        <v>3015</v>
      </c>
      <c r="D329" t="s">
        <v>3016</v>
      </c>
      <c r="E329" t="s">
        <v>3017</v>
      </c>
      <c r="F329" t="s">
        <v>2815</v>
      </c>
      <c r="G329" t="s">
        <v>2621</v>
      </c>
      <c r="H329" t="s">
        <v>22</v>
      </c>
      <c r="I329" t="s">
        <v>857</v>
      </c>
    </row>
    <row r="330" spans="1:9" ht="11.25" customHeight="1">
      <c r="A330" t="s">
        <v>2250</v>
      </c>
      <c r="B330" t="s">
        <v>16</v>
      </c>
      <c r="C330" t="s">
        <v>3018</v>
      </c>
      <c r="D330" t="s">
        <v>3019</v>
      </c>
      <c r="E330" t="s">
        <v>3020</v>
      </c>
      <c r="F330" t="s">
        <v>2713</v>
      </c>
      <c r="G330" t="s">
        <v>22</v>
      </c>
      <c r="H330" t="s">
        <v>22</v>
      </c>
      <c r="I330" t="s">
        <v>857</v>
      </c>
    </row>
    <row r="331" spans="1:9" ht="11.25" customHeight="1">
      <c r="A331" t="s">
        <v>2250</v>
      </c>
      <c r="B331" t="s">
        <v>16</v>
      </c>
      <c r="C331" t="s">
        <v>2515</v>
      </c>
      <c r="D331" t="s">
        <v>2516</v>
      </c>
      <c r="E331" t="s">
        <v>2517</v>
      </c>
      <c r="F331" t="s">
        <v>2484</v>
      </c>
      <c r="G331" t="s">
        <v>22</v>
      </c>
      <c r="H331" t="s">
        <v>22</v>
      </c>
      <c r="I331" t="s">
        <v>857</v>
      </c>
    </row>
    <row r="332" spans="1:9" ht="11.25" customHeight="1">
      <c r="A332" t="s">
        <v>2250</v>
      </c>
      <c r="B332" t="s">
        <v>16</v>
      </c>
      <c r="C332" t="s">
        <v>3021</v>
      </c>
      <c r="D332" t="s">
        <v>3022</v>
      </c>
      <c r="E332" t="s">
        <v>3023</v>
      </c>
      <c r="F332" t="s">
        <v>2525</v>
      </c>
      <c r="G332" t="s">
        <v>22</v>
      </c>
      <c r="H332" t="s">
        <v>22</v>
      </c>
      <c r="I332" t="s">
        <v>857</v>
      </c>
    </row>
    <row r="333" spans="1:9" ht="11.25" customHeight="1">
      <c r="A333" t="s">
        <v>2250</v>
      </c>
      <c r="B333" t="s">
        <v>16</v>
      </c>
      <c r="C333" t="s">
        <v>2518</v>
      </c>
      <c r="D333" t="s">
        <v>2519</v>
      </c>
      <c r="E333" t="s">
        <v>2520</v>
      </c>
      <c r="F333" t="s">
        <v>2521</v>
      </c>
      <c r="G333" t="s">
        <v>22</v>
      </c>
      <c r="H333" t="s">
        <v>22</v>
      </c>
      <c r="I333" t="s">
        <v>857</v>
      </c>
    </row>
    <row r="334" spans="1:9" ht="11.25" customHeight="1">
      <c r="A334" t="s">
        <v>2250</v>
      </c>
      <c r="B334" t="s">
        <v>16</v>
      </c>
      <c r="C334" t="s">
        <v>2522</v>
      </c>
      <c r="D334" t="s">
        <v>2523</v>
      </c>
      <c r="E334" t="s">
        <v>2524</v>
      </c>
      <c r="F334" t="s">
        <v>2525</v>
      </c>
      <c r="G334" t="s">
        <v>22</v>
      </c>
      <c r="H334" t="s">
        <v>22</v>
      </c>
      <c r="I334" t="s">
        <v>857</v>
      </c>
    </row>
    <row r="335" spans="1:9" ht="11.25" customHeight="1">
      <c r="A335" t="s">
        <v>2250</v>
      </c>
      <c r="B335" t="s">
        <v>16</v>
      </c>
      <c r="C335" t="s">
        <v>2529</v>
      </c>
      <c r="D335" t="s">
        <v>2530</v>
      </c>
      <c r="E335" t="s">
        <v>2531</v>
      </c>
      <c r="F335" t="s">
        <v>2262</v>
      </c>
      <c r="G335" t="s">
        <v>22</v>
      </c>
      <c r="H335" t="s">
        <v>22</v>
      </c>
      <c r="I335" t="s">
        <v>857</v>
      </c>
    </row>
    <row r="336" spans="1:9" ht="11.25" customHeight="1">
      <c r="A336" t="s">
        <v>2250</v>
      </c>
      <c r="B336" t="s">
        <v>16</v>
      </c>
      <c r="C336" t="s">
        <v>2536</v>
      </c>
      <c r="D336" t="s">
        <v>2537</v>
      </c>
      <c r="E336" t="s">
        <v>2538</v>
      </c>
      <c r="F336" t="s">
        <v>2539</v>
      </c>
      <c r="G336" t="s">
        <v>22</v>
      </c>
      <c r="H336" t="s">
        <v>22</v>
      </c>
      <c r="I336" t="s">
        <v>857</v>
      </c>
    </row>
    <row r="337" spans="1:9" ht="11.25" customHeight="1">
      <c r="A337" t="s">
        <v>2250</v>
      </c>
      <c r="B337" t="s">
        <v>16</v>
      </c>
      <c r="C337" t="s">
        <v>2545</v>
      </c>
      <c r="D337" t="s">
        <v>2546</v>
      </c>
      <c r="E337" t="s">
        <v>2547</v>
      </c>
      <c r="F337" t="s">
        <v>2459</v>
      </c>
      <c r="G337" t="s">
        <v>2548</v>
      </c>
      <c r="H337" t="s">
        <v>22</v>
      </c>
      <c r="I337" t="s">
        <v>857</v>
      </c>
    </row>
    <row r="338" spans="1:9" ht="11.25" customHeight="1">
      <c r="A338" t="s">
        <v>2250</v>
      </c>
      <c r="B338" t="s">
        <v>16</v>
      </c>
      <c r="C338" t="s">
        <v>2552</v>
      </c>
      <c r="D338" t="s">
        <v>2553</v>
      </c>
      <c r="E338" t="s">
        <v>2398</v>
      </c>
      <c r="F338" t="s">
        <v>2554</v>
      </c>
      <c r="G338" t="s">
        <v>22</v>
      </c>
      <c r="H338" t="s">
        <v>22</v>
      </c>
      <c r="I338" t="s">
        <v>857</v>
      </c>
    </row>
    <row r="339" spans="1:9" ht="11.25" customHeight="1">
      <c r="A339" t="s">
        <v>2250</v>
      </c>
      <c r="B339" t="s">
        <v>16</v>
      </c>
      <c r="C339" t="s">
        <v>3024</v>
      </c>
      <c r="D339" t="s">
        <v>3025</v>
      </c>
      <c r="E339" t="s">
        <v>3026</v>
      </c>
      <c r="F339" t="s">
        <v>2640</v>
      </c>
      <c r="G339" t="s">
        <v>22</v>
      </c>
      <c r="H339" t="s">
        <v>22</v>
      </c>
      <c r="I339" t="s">
        <v>857</v>
      </c>
    </row>
    <row r="340" spans="1:9" ht="11.25" customHeight="1">
      <c r="A340" t="s">
        <v>2250</v>
      </c>
      <c r="B340" t="s">
        <v>16</v>
      </c>
      <c r="C340" t="s">
        <v>2558</v>
      </c>
      <c r="D340" t="s">
        <v>2559</v>
      </c>
      <c r="E340" t="s">
        <v>2560</v>
      </c>
      <c r="F340" t="s">
        <v>2362</v>
      </c>
      <c r="G340" t="s">
        <v>22</v>
      </c>
      <c r="H340" t="s">
        <v>22</v>
      </c>
      <c r="I340" t="s">
        <v>857</v>
      </c>
    </row>
    <row r="341" spans="1:9" ht="11.25" customHeight="1">
      <c r="A341" t="s">
        <v>2250</v>
      </c>
      <c r="B341" t="s">
        <v>16</v>
      </c>
      <c r="C341" t="s">
        <v>3027</v>
      </c>
      <c r="D341" t="s">
        <v>3028</v>
      </c>
      <c r="E341" t="s">
        <v>3029</v>
      </c>
      <c r="F341" t="s">
        <v>2254</v>
      </c>
      <c r="G341" t="s">
        <v>22</v>
      </c>
      <c r="H341" t="s">
        <v>22</v>
      </c>
      <c r="I341" t="s">
        <v>857</v>
      </c>
    </row>
    <row r="342" spans="1:9" ht="11.25" customHeight="1">
      <c r="A342" t="s">
        <v>2250</v>
      </c>
      <c r="B342" t="s">
        <v>16</v>
      </c>
      <c r="C342" t="s">
        <v>3030</v>
      </c>
      <c r="D342" t="s">
        <v>3031</v>
      </c>
      <c r="E342" t="s">
        <v>3032</v>
      </c>
      <c r="F342" t="s">
        <v>2337</v>
      </c>
      <c r="G342" t="s">
        <v>3033</v>
      </c>
      <c r="H342" t="s">
        <v>22</v>
      </c>
      <c r="I342" t="s">
        <v>857</v>
      </c>
    </row>
    <row r="343" spans="1:9" ht="11.25" customHeight="1">
      <c r="A343" t="s">
        <v>2250</v>
      </c>
      <c r="B343" t="s">
        <v>16</v>
      </c>
      <c r="C343" t="s">
        <v>2569</v>
      </c>
      <c r="D343" t="s">
        <v>2570</v>
      </c>
      <c r="E343" t="s">
        <v>2571</v>
      </c>
      <c r="F343" t="s">
        <v>2459</v>
      </c>
      <c r="G343" t="s">
        <v>22</v>
      </c>
      <c r="H343" t="s">
        <v>22</v>
      </c>
      <c r="I343" t="s">
        <v>857</v>
      </c>
    </row>
    <row r="344" spans="1:9" ht="11.25" customHeight="1">
      <c r="A344" t="s">
        <v>2250</v>
      </c>
      <c r="B344" t="s">
        <v>16</v>
      </c>
      <c r="C344" t="s">
        <v>2572</v>
      </c>
      <c r="D344" t="s">
        <v>2573</v>
      </c>
      <c r="E344" t="s">
        <v>2574</v>
      </c>
      <c r="F344" t="s">
        <v>2282</v>
      </c>
      <c r="G344" t="s">
        <v>22</v>
      </c>
      <c r="H344" t="s">
        <v>22</v>
      </c>
      <c r="I344" t="s">
        <v>857</v>
      </c>
    </row>
    <row r="345" spans="1:9" ht="11.25" customHeight="1">
      <c r="A345" t="s">
        <v>2250</v>
      </c>
      <c r="B345" t="s">
        <v>16</v>
      </c>
      <c r="C345" t="s">
        <v>2575</v>
      </c>
      <c r="D345" t="s">
        <v>2576</v>
      </c>
      <c r="E345" t="s">
        <v>2577</v>
      </c>
      <c r="F345" t="s">
        <v>2514</v>
      </c>
      <c r="G345" t="s">
        <v>22</v>
      </c>
      <c r="H345" t="s">
        <v>22</v>
      </c>
      <c r="I345" t="s">
        <v>857</v>
      </c>
    </row>
    <row r="346" spans="1:9" ht="11.25" customHeight="1">
      <c r="A346" t="s">
        <v>2250</v>
      </c>
      <c r="B346" t="s">
        <v>16</v>
      </c>
      <c r="C346" t="s">
        <v>2578</v>
      </c>
      <c r="D346" t="s">
        <v>2579</v>
      </c>
      <c r="E346" t="s">
        <v>2580</v>
      </c>
      <c r="F346" t="s">
        <v>2459</v>
      </c>
      <c r="G346" t="s">
        <v>22</v>
      </c>
      <c r="H346" t="s">
        <v>22</v>
      </c>
      <c r="I346" t="s">
        <v>857</v>
      </c>
    </row>
    <row r="347" spans="1:9" ht="11.25" customHeight="1">
      <c r="A347" t="s">
        <v>2250</v>
      </c>
      <c r="B347" t="s">
        <v>16</v>
      </c>
      <c r="C347" t="s">
        <v>3034</v>
      </c>
      <c r="D347" t="s">
        <v>3035</v>
      </c>
      <c r="E347" t="s">
        <v>3036</v>
      </c>
      <c r="F347" t="s">
        <v>2254</v>
      </c>
      <c r="G347" t="s">
        <v>22</v>
      </c>
      <c r="H347" t="s">
        <v>22</v>
      </c>
      <c r="I347" t="s">
        <v>857</v>
      </c>
    </row>
    <row r="348" spans="1:9" ht="11.25" customHeight="1">
      <c r="A348" t="s">
        <v>2250</v>
      </c>
      <c r="B348" t="s">
        <v>16</v>
      </c>
      <c r="C348" t="s">
        <v>2581</v>
      </c>
      <c r="D348" t="s">
        <v>2582</v>
      </c>
      <c r="E348" t="s">
        <v>2583</v>
      </c>
      <c r="F348" t="s">
        <v>2584</v>
      </c>
      <c r="G348" t="s">
        <v>22</v>
      </c>
      <c r="H348" t="s">
        <v>22</v>
      </c>
      <c r="I348" t="s">
        <v>857</v>
      </c>
    </row>
    <row r="349" spans="1:9" ht="11.25" customHeight="1">
      <c r="A349" t="s">
        <v>2250</v>
      </c>
      <c r="B349" t="s">
        <v>16</v>
      </c>
      <c r="C349" t="s">
        <v>3037</v>
      </c>
      <c r="D349" t="s">
        <v>3038</v>
      </c>
      <c r="E349" t="s">
        <v>3039</v>
      </c>
      <c r="F349" t="s">
        <v>2254</v>
      </c>
      <c r="G349" t="s">
        <v>22</v>
      </c>
      <c r="H349" t="s">
        <v>22</v>
      </c>
      <c r="I349" t="s">
        <v>857</v>
      </c>
    </row>
    <row r="350" spans="1:9" ht="11.25" customHeight="1">
      <c r="A350" t="s">
        <v>2250</v>
      </c>
      <c r="B350" t="s">
        <v>16</v>
      </c>
      <c r="C350" t="s">
        <v>3040</v>
      </c>
      <c r="D350" t="s">
        <v>3041</v>
      </c>
      <c r="E350" t="s">
        <v>3042</v>
      </c>
      <c r="F350" t="s">
        <v>2258</v>
      </c>
      <c r="G350" t="s">
        <v>22</v>
      </c>
      <c r="H350" t="s">
        <v>22</v>
      </c>
      <c r="I350" t="s">
        <v>857</v>
      </c>
    </row>
    <row r="351" spans="1:9" ht="11.25" customHeight="1">
      <c r="A351" t="s">
        <v>2250</v>
      </c>
      <c r="B351" t="s">
        <v>16</v>
      </c>
      <c r="C351" t="s">
        <v>3043</v>
      </c>
      <c r="D351" t="s">
        <v>3044</v>
      </c>
      <c r="E351" t="s">
        <v>3045</v>
      </c>
      <c r="F351" t="s">
        <v>2543</v>
      </c>
      <c r="G351" t="s">
        <v>3046</v>
      </c>
      <c r="H351" t="s">
        <v>22</v>
      </c>
      <c r="I351" t="s">
        <v>857</v>
      </c>
    </row>
    <row r="352" spans="1:9" ht="11.25" customHeight="1">
      <c r="A352" t="s">
        <v>2250</v>
      </c>
      <c r="B352" t="s">
        <v>16</v>
      </c>
      <c r="C352" t="s">
        <v>3047</v>
      </c>
      <c r="D352" t="s">
        <v>3048</v>
      </c>
      <c r="E352" t="s">
        <v>3049</v>
      </c>
      <c r="F352" t="s">
        <v>2521</v>
      </c>
      <c r="G352" t="s">
        <v>22</v>
      </c>
      <c r="H352" t="s">
        <v>22</v>
      </c>
      <c r="I352" t="s">
        <v>857</v>
      </c>
    </row>
    <row r="353" spans="1:9" ht="11.25" customHeight="1">
      <c r="A353" t="s">
        <v>2250</v>
      </c>
      <c r="B353" t="s">
        <v>16</v>
      </c>
      <c r="C353" t="s">
        <v>3050</v>
      </c>
      <c r="D353" t="s">
        <v>3051</v>
      </c>
      <c r="E353" t="s">
        <v>3052</v>
      </c>
      <c r="F353" t="s">
        <v>2258</v>
      </c>
      <c r="G353" t="s">
        <v>22</v>
      </c>
      <c r="H353" t="s">
        <v>22</v>
      </c>
      <c r="I353" t="s">
        <v>857</v>
      </c>
    </row>
    <row r="354" spans="1:9" ht="11.25" customHeight="1">
      <c r="A354" t="s">
        <v>2250</v>
      </c>
      <c r="B354" t="s">
        <v>16</v>
      </c>
      <c r="C354" t="s">
        <v>3053</v>
      </c>
      <c r="D354" t="s">
        <v>3054</v>
      </c>
      <c r="E354" t="s">
        <v>3055</v>
      </c>
      <c r="F354" t="s">
        <v>3056</v>
      </c>
      <c r="G354" t="s">
        <v>3057</v>
      </c>
      <c r="H354" t="s">
        <v>22</v>
      </c>
      <c r="I354" t="s">
        <v>857</v>
      </c>
    </row>
    <row r="355" spans="1:9" ht="11.25" customHeight="1">
      <c r="A355" t="s">
        <v>2250</v>
      </c>
      <c r="B355" t="s">
        <v>16</v>
      </c>
      <c r="C355" t="s">
        <v>2609</v>
      </c>
      <c r="D355" t="s">
        <v>2610</v>
      </c>
      <c r="E355" t="s">
        <v>2611</v>
      </c>
      <c r="F355" t="s">
        <v>2286</v>
      </c>
      <c r="G355" t="s">
        <v>22</v>
      </c>
      <c r="H355" t="s">
        <v>22</v>
      </c>
      <c r="I355" t="s">
        <v>857</v>
      </c>
    </row>
    <row r="356" spans="1:9" ht="11.25" customHeight="1">
      <c r="A356" t="s">
        <v>2250</v>
      </c>
      <c r="B356" t="s">
        <v>16</v>
      </c>
      <c r="C356" t="s">
        <v>3058</v>
      </c>
      <c r="D356" t="s">
        <v>3059</v>
      </c>
      <c r="E356" t="s">
        <v>3060</v>
      </c>
      <c r="F356" t="s">
        <v>2290</v>
      </c>
      <c r="G356" t="s">
        <v>22</v>
      </c>
      <c r="H356" t="s">
        <v>22</v>
      </c>
      <c r="I356" t="s">
        <v>857</v>
      </c>
    </row>
    <row r="357" spans="1:9" ht="11.25" customHeight="1">
      <c r="A357" t="s">
        <v>2250</v>
      </c>
      <c r="B357" t="s">
        <v>16</v>
      </c>
      <c r="C357" t="s">
        <v>3061</v>
      </c>
      <c r="D357" t="s">
        <v>3062</v>
      </c>
      <c r="E357" t="s">
        <v>3063</v>
      </c>
      <c r="F357" t="s">
        <v>2330</v>
      </c>
      <c r="G357" t="s">
        <v>22</v>
      </c>
      <c r="H357" t="s">
        <v>22</v>
      </c>
      <c r="I357" t="s">
        <v>857</v>
      </c>
    </row>
    <row r="358" spans="1:9" ht="11.25" customHeight="1">
      <c r="A358" t="s">
        <v>2250</v>
      </c>
      <c r="B358" t="s">
        <v>16</v>
      </c>
      <c r="C358" t="s">
        <v>3064</v>
      </c>
      <c r="D358" t="s">
        <v>3065</v>
      </c>
      <c r="E358" t="s">
        <v>3066</v>
      </c>
      <c r="F358" t="s">
        <v>2277</v>
      </c>
      <c r="G358" t="s">
        <v>22</v>
      </c>
      <c r="H358" t="s">
        <v>22</v>
      </c>
      <c r="I358" t="s">
        <v>857</v>
      </c>
    </row>
    <row r="359" spans="1:9" ht="11.25" customHeight="1">
      <c r="A359" t="s">
        <v>2250</v>
      </c>
      <c r="B359" t="s">
        <v>16</v>
      </c>
      <c r="C359" t="s">
        <v>3067</v>
      </c>
      <c r="D359" t="s">
        <v>3068</v>
      </c>
      <c r="E359" t="s">
        <v>3069</v>
      </c>
      <c r="F359" t="s">
        <v>2326</v>
      </c>
      <c r="G359" t="s">
        <v>22</v>
      </c>
      <c r="H359" t="s">
        <v>22</v>
      </c>
      <c r="I359" t="s">
        <v>857</v>
      </c>
    </row>
    <row r="360" spans="1:9" ht="11.25" customHeight="1">
      <c r="A360" t="s">
        <v>2250</v>
      </c>
      <c r="B360" t="s">
        <v>16</v>
      </c>
      <c r="C360" t="s">
        <v>3070</v>
      </c>
      <c r="D360" t="s">
        <v>3071</v>
      </c>
      <c r="E360" t="s">
        <v>3072</v>
      </c>
      <c r="F360" t="s">
        <v>2286</v>
      </c>
      <c r="G360" t="s">
        <v>3073</v>
      </c>
      <c r="H360" t="s">
        <v>22</v>
      </c>
      <c r="I360" t="s">
        <v>857</v>
      </c>
    </row>
    <row r="361" spans="1:9" ht="11.25" customHeight="1">
      <c r="A361" t="s">
        <v>2250</v>
      </c>
      <c r="B361" t="s">
        <v>16</v>
      </c>
      <c r="C361" t="s">
        <v>3074</v>
      </c>
      <c r="D361" t="s">
        <v>3075</v>
      </c>
      <c r="E361" t="s">
        <v>3076</v>
      </c>
      <c r="F361" t="s">
        <v>2488</v>
      </c>
      <c r="G361" t="s">
        <v>3077</v>
      </c>
      <c r="H361" t="s">
        <v>22</v>
      </c>
      <c r="I361" t="s">
        <v>857</v>
      </c>
    </row>
    <row r="362" spans="1:9" ht="11.25" customHeight="1">
      <c r="A362" t="s">
        <v>2250</v>
      </c>
      <c r="B362" t="s">
        <v>16</v>
      </c>
      <c r="C362" t="s">
        <v>2612</v>
      </c>
      <c r="D362" t="s">
        <v>2613</v>
      </c>
      <c r="E362" t="s">
        <v>2614</v>
      </c>
      <c r="F362" t="s">
        <v>51</v>
      </c>
      <c r="G362" t="s">
        <v>22</v>
      </c>
      <c r="H362" t="s">
        <v>22</v>
      </c>
      <c r="I362" t="s">
        <v>857</v>
      </c>
    </row>
    <row r="363" spans="1:9" ht="11.25" customHeight="1">
      <c r="A363" t="s">
        <v>2250</v>
      </c>
      <c r="B363" t="s">
        <v>16</v>
      </c>
      <c r="C363" t="s">
        <v>3078</v>
      </c>
      <c r="D363" t="s">
        <v>3079</v>
      </c>
      <c r="E363" t="s">
        <v>3080</v>
      </c>
      <c r="F363" t="s">
        <v>2311</v>
      </c>
      <c r="G363" t="s">
        <v>22</v>
      </c>
      <c r="H363" t="s">
        <v>22</v>
      </c>
      <c r="I363" t="s">
        <v>857</v>
      </c>
    </row>
    <row r="364" spans="1:9" ht="11.25" customHeight="1">
      <c r="A364" t="s">
        <v>2250</v>
      </c>
      <c r="B364" t="s">
        <v>16</v>
      </c>
      <c r="C364" t="s">
        <v>3081</v>
      </c>
      <c r="D364" t="s">
        <v>3082</v>
      </c>
      <c r="E364" t="s">
        <v>3083</v>
      </c>
      <c r="F364" t="s">
        <v>2640</v>
      </c>
      <c r="G364" t="s">
        <v>22</v>
      </c>
      <c r="H364" t="s">
        <v>22</v>
      </c>
      <c r="I364" t="s">
        <v>857</v>
      </c>
    </row>
    <row r="365" spans="1:9" ht="11.25" customHeight="1">
      <c r="A365" t="s">
        <v>2250</v>
      </c>
      <c r="B365" t="s">
        <v>16</v>
      </c>
      <c r="C365" t="s">
        <v>3084</v>
      </c>
      <c r="D365" t="s">
        <v>3082</v>
      </c>
      <c r="E365" t="s">
        <v>3085</v>
      </c>
      <c r="F365" t="s">
        <v>2488</v>
      </c>
      <c r="G365" t="s">
        <v>22</v>
      </c>
      <c r="H365" t="s">
        <v>22</v>
      </c>
      <c r="I365" t="s">
        <v>857</v>
      </c>
    </row>
    <row r="366" spans="1:9" ht="11.25" customHeight="1">
      <c r="A366" t="s">
        <v>2250</v>
      </c>
      <c r="B366" t="s">
        <v>16</v>
      </c>
      <c r="C366" t="s">
        <v>3086</v>
      </c>
      <c r="D366" t="s">
        <v>3082</v>
      </c>
      <c r="E366" t="s">
        <v>3087</v>
      </c>
      <c r="F366" t="s">
        <v>2381</v>
      </c>
      <c r="G366" t="s">
        <v>22</v>
      </c>
      <c r="H366" t="s">
        <v>22</v>
      </c>
      <c r="I366" t="s">
        <v>857</v>
      </c>
    </row>
    <row r="367" spans="1:9" ht="11.25" customHeight="1">
      <c r="A367" t="s">
        <v>2250</v>
      </c>
      <c r="B367" t="s">
        <v>16</v>
      </c>
      <c r="C367" t="s">
        <v>3088</v>
      </c>
      <c r="D367" t="s">
        <v>3089</v>
      </c>
      <c r="E367" t="s">
        <v>3090</v>
      </c>
      <c r="F367" t="s">
        <v>2584</v>
      </c>
      <c r="G367" t="s">
        <v>22</v>
      </c>
      <c r="H367" t="s">
        <v>22</v>
      </c>
      <c r="I367" t="s">
        <v>857</v>
      </c>
    </row>
    <row r="368" spans="1:9" ht="11.25" customHeight="1">
      <c r="A368" t="s">
        <v>2250</v>
      </c>
      <c r="B368" t="s">
        <v>16</v>
      </c>
      <c r="C368" t="s">
        <v>3091</v>
      </c>
      <c r="D368" t="s">
        <v>3092</v>
      </c>
      <c r="E368" t="s">
        <v>3093</v>
      </c>
      <c r="F368" t="s">
        <v>2661</v>
      </c>
      <c r="G368" t="s">
        <v>22</v>
      </c>
      <c r="H368" t="s">
        <v>22</v>
      </c>
      <c r="I368" t="s">
        <v>857</v>
      </c>
    </row>
    <row r="369" spans="1:9" ht="11.25" customHeight="1">
      <c r="A369" t="s">
        <v>2250</v>
      </c>
      <c r="B369" t="s">
        <v>16</v>
      </c>
      <c r="C369" t="s">
        <v>3094</v>
      </c>
      <c r="D369" t="s">
        <v>3095</v>
      </c>
      <c r="E369" t="s">
        <v>3096</v>
      </c>
      <c r="F369" t="s">
        <v>2815</v>
      </c>
      <c r="G369" t="s">
        <v>22</v>
      </c>
      <c r="H369" t="s">
        <v>22</v>
      </c>
      <c r="I369" t="s">
        <v>857</v>
      </c>
    </row>
    <row r="370" spans="1:9" ht="11.25" customHeight="1">
      <c r="A370" t="s">
        <v>2250</v>
      </c>
      <c r="B370" t="s">
        <v>16</v>
      </c>
      <c r="C370" t="s">
        <v>3097</v>
      </c>
      <c r="D370" t="s">
        <v>3098</v>
      </c>
      <c r="E370" t="s">
        <v>3099</v>
      </c>
      <c r="F370" t="s">
        <v>2258</v>
      </c>
      <c r="G370" t="s">
        <v>22</v>
      </c>
      <c r="H370" t="s">
        <v>22</v>
      </c>
      <c r="I370" t="s">
        <v>857</v>
      </c>
    </row>
    <row r="371" spans="1:9" ht="11.25" customHeight="1">
      <c r="A371" t="s">
        <v>2250</v>
      </c>
      <c r="B371" t="s">
        <v>16</v>
      </c>
      <c r="C371" t="s">
        <v>3100</v>
      </c>
      <c r="D371" t="s">
        <v>3101</v>
      </c>
      <c r="E371" t="s">
        <v>3102</v>
      </c>
      <c r="F371" t="s">
        <v>2258</v>
      </c>
      <c r="G371" t="s">
        <v>22</v>
      </c>
      <c r="H371" t="s">
        <v>22</v>
      </c>
      <c r="I371" t="s">
        <v>857</v>
      </c>
    </row>
    <row r="372" spans="1:9" ht="11.25" customHeight="1">
      <c r="A372" t="s">
        <v>2250</v>
      </c>
      <c r="B372" t="s">
        <v>16</v>
      </c>
      <c r="C372" t="s">
        <v>3103</v>
      </c>
      <c r="D372" t="s">
        <v>3104</v>
      </c>
      <c r="E372" t="s">
        <v>3105</v>
      </c>
      <c r="F372" t="s">
        <v>3106</v>
      </c>
      <c r="G372" t="s">
        <v>22</v>
      </c>
      <c r="H372" t="s">
        <v>22</v>
      </c>
      <c r="I372" t="s">
        <v>857</v>
      </c>
    </row>
    <row r="373" spans="1:9" ht="11.25" customHeight="1">
      <c r="A373" t="s">
        <v>2250</v>
      </c>
      <c r="B373" t="s">
        <v>16</v>
      </c>
      <c r="C373" t="s">
        <v>3107</v>
      </c>
      <c r="D373" t="s">
        <v>3108</v>
      </c>
      <c r="E373" t="s">
        <v>3109</v>
      </c>
      <c r="F373" t="s">
        <v>2521</v>
      </c>
      <c r="G373" t="s">
        <v>22</v>
      </c>
      <c r="H373" t="s">
        <v>22</v>
      </c>
      <c r="I373" t="s">
        <v>857</v>
      </c>
    </row>
    <row r="374" spans="1:9" ht="11.25" customHeight="1">
      <c r="A374" t="s">
        <v>2250</v>
      </c>
      <c r="B374" t="s">
        <v>16</v>
      </c>
      <c r="C374" t="s">
        <v>2628</v>
      </c>
      <c r="D374" t="s">
        <v>2629</v>
      </c>
      <c r="E374" t="s">
        <v>2630</v>
      </c>
      <c r="F374" t="s">
        <v>2311</v>
      </c>
      <c r="G374" t="s">
        <v>2631</v>
      </c>
      <c r="H374" t="s">
        <v>22</v>
      </c>
      <c r="I374" t="s">
        <v>857</v>
      </c>
    </row>
    <row r="375" spans="1:9" ht="11.25" customHeight="1">
      <c r="A375" t="s">
        <v>2250</v>
      </c>
      <c r="B375" t="s">
        <v>16</v>
      </c>
      <c r="C375" t="s">
        <v>3110</v>
      </c>
      <c r="D375" t="s">
        <v>3111</v>
      </c>
      <c r="E375" t="s">
        <v>3112</v>
      </c>
      <c r="F375" t="s">
        <v>2818</v>
      </c>
      <c r="G375" t="s">
        <v>22</v>
      </c>
      <c r="H375" t="s">
        <v>22</v>
      </c>
      <c r="I375" t="s">
        <v>857</v>
      </c>
    </row>
    <row r="376" spans="1:9" ht="11.25" customHeight="1">
      <c r="A376" t="s">
        <v>2250</v>
      </c>
      <c r="B376" t="s">
        <v>16</v>
      </c>
      <c r="C376" t="s">
        <v>3113</v>
      </c>
      <c r="D376" t="s">
        <v>3114</v>
      </c>
      <c r="E376" t="s">
        <v>3115</v>
      </c>
      <c r="F376" t="s">
        <v>2303</v>
      </c>
      <c r="G376" t="s">
        <v>3116</v>
      </c>
      <c r="H376" t="s">
        <v>22</v>
      </c>
      <c r="I376" t="s">
        <v>857</v>
      </c>
    </row>
    <row r="377" spans="1:9" ht="11.25" customHeight="1">
      <c r="A377" t="s">
        <v>2250</v>
      </c>
      <c r="B377" t="s">
        <v>16</v>
      </c>
      <c r="C377" t="s">
        <v>2635</v>
      </c>
      <c r="D377" t="s">
        <v>2636</v>
      </c>
      <c r="E377" t="s">
        <v>2637</v>
      </c>
      <c r="F377" t="s">
        <v>2521</v>
      </c>
      <c r="G377" t="s">
        <v>22</v>
      </c>
      <c r="H377" t="s">
        <v>22</v>
      </c>
      <c r="I377" t="s">
        <v>857</v>
      </c>
    </row>
    <row r="378" spans="1:9" ht="11.25" customHeight="1">
      <c r="A378" t="s">
        <v>2250</v>
      </c>
      <c r="B378" t="s">
        <v>16</v>
      </c>
      <c r="C378" t="s">
        <v>2641</v>
      </c>
      <c r="D378" t="s">
        <v>2642</v>
      </c>
      <c r="E378" t="s">
        <v>2643</v>
      </c>
      <c r="F378" t="s">
        <v>2417</v>
      </c>
      <c r="G378" t="s">
        <v>22</v>
      </c>
      <c r="H378" t="s">
        <v>22</v>
      </c>
      <c r="I378" t="s">
        <v>857</v>
      </c>
    </row>
    <row r="379" spans="1:9" ht="11.25" customHeight="1">
      <c r="A379" t="s">
        <v>2250</v>
      </c>
      <c r="B379" t="s">
        <v>16</v>
      </c>
      <c r="C379" t="s">
        <v>2648</v>
      </c>
      <c r="D379" t="s">
        <v>2649</v>
      </c>
      <c r="E379" t="s">
        <v>2650</v>
      </c>
      <c r="F379" t="s">
        <v>2337</v>
      </c>
      <c r="G379" t="s">
        <v>22</v>
      </c>
      <c r="H379" t="s">
        <v>22</v>
      </c>
      <c r="I379" t="s">
        <v>857</v>
      </c>
    </row>
    <row r="380" spans="1:9" ht="11.25" customHeight="1">
      <c r="A380" t="s">
        <v>2250</v>
      </c>
      <c r="B380" t="s">
        <v>16</v>
      </c>
      <c r="C380" t="s">
        <v>3117</v>
      </c>
      <c r="D380" t="s">
        <v>3118</v>
      </c>
      <c r="E380" t="s">
        <v>3119</v>
      </c>
      <c r="F380" t="s">
        <v>2713</v>
      </c>
      <c r="G380" t="s">
        <v>22</v>
      </c>
      <c r="H380" t="s">
        <v>22</v>
      </c>
      <c r="I380" t="s">
        <v>857</v>
      </c>
    </row>
    <row r="381" spans="1:9" ht="11.25" customHeight="1">
      <c r="A381" t="s">
        <v>2250</v>
      </c>
      <c r="B381" t="s">
        <v>16</v>
      </c>
      <c r="C381" t="s">
        <v>3120</v>
      </c>
      <c r="D381" t="s">
        <v>3121</v>
      </c>
      <c r="E381" t="s">
        <v>3122</v>
      </c>
      <c r="F381" t="s">
        <v>2286</v>
      </c>
      <c r="G381" t="s">
        <v>22</v>
      </c>
      <c r="H381" t="s">
        <v>22</v>
      </c>
      <c r="I381" t="s">
        <v>857</v>
      </c>
    </row>
    <row r="382" spans="1:9" ht="11.25" customHeight="1">
      <c r="A382" t="s">
        <v>2250</v>
      </c>
      <c r="B382" t="s">
        <v>16</v>
      </c>
      <c r="C382" t="s">
        <v>3123</v>
      </c>
      <c r="D382" t="s">
        <v>3124</v>
      </c>
      <c r="E382" t="s">
        <v>3125</v>
      </c>
      <c r="F382" t="s">
        <v>2290</v>
      </c>
      <c r="G382" t="s">
        <v>22</v>
      </c>
      <c r="H382" t="s">
        <v>22</v>
      </c>
      <c r="I382" t="s">
        <v>857</v>
      </c>
    </row>
    <row r="383" spans="1:9" ht="11.25" customHeight="1">
      <c r="A383" t="s">
        <v>2250</v>
      </c>
      <c r="B383" t="s">
        <v>16</v>
      </c>
      <c r="C383" t="s">
        <v>2671</v>
      </c>
      <c r="D383" t="s">
        <v>2672</v>
      </c>
      <c r="E383" t="s">
        <v>2673</v>
      </c>
      <c r="F383" t="s">
        <v>2674</v>
      </c>
      <c r="G383" t="s">
        <v>22</v>
      </c>
      <c r="H383" t="s">
        <v>22</v>
      </c>
      <c r="I383" t="s">
        <v>857</v>
      </c>
    </row>
    <row r="384" spans="1:9" ht="11.25" customHeight="1">
      <c r="A384" t="s">
        <v>2250</v>
      </c>
      <c r="B384" t="s">
        <v>16</v>
      </c>
      <c r="C384" t="s">
        <v>3126</v>
      </c>
      <c r="D384" t="s">
        <v>3127</v>
      </c>
      <c r="E384" t="s">
        <v>3128</v>
      </c>
      <c r="F384" t="s">
        <v>2674</v>
      </c>
      <c r="G384" t="s">
        <v>22</v>
      </c>
      <c r="H384" t="s">
        <v>22</v>
      </c>
      <c r="I384" t="s">
        <v>857</v>
      </c>
    </row>
    <row r="385" spans="1:9" ht="11.25" customHeight="1">
      <c r="A385" t="s">
        <v>2250</v>
      </c>
      <c r="B385" t="s">
        <v>16</v>
      </c>
      <c r="C385" t="s">
        <v>2675</v>
      </c>
      <c r="D385" t="s">
        <v>2676</v>
      </c>
      <c r="E385" t="s">
        <v>2677</v>
      </c>
      <c r="F385" t="s">
        <v>2674</v>
      </c>
      <c r="G385" t="s">
        <v>22</v>
      </c>
      <c r="H385" t="s">
        <v>22</v>
      </c>
      <c r="I385" t="s">
        <v>857</v>
      </c>
    </row>
    <row r="386" spans="1:9" ht="11.25" customHeight="1">
      <c r="A386" t="s">
        <v>2250</v>
      </c>
      <c r="B386" t="s">
        <v>16</v>
      </c>
      <c r="C386" t="s">
        <v>2678</v>
      </c>
      <c r="D386" t="s">
        <v>2679</v>
      </c>
      <c r="E386" t="s">
        <v>2680</v>
      </c>
      <c r="F386" t="s">
        <v>2525</v>
      </c>
      <c r="G386" t="s">
        <v>22</v>
      </c>
      <c r="H386" t="s">
        <v>22</v>
      </c>
      <c r="I386" t="s">
        <v>857</v>
      </c>
    </row>
    <row r="387" spans="1:9" ht="11.25" customHeight="1">
      <c r="A387" t="s">
        <v>2250</v>
      </c>
      <c r="B387" t="s">
        <v>16</v>
      </c>
      <c r="C387" t="s">
        <v>3129</v>
      </c>
      <c r="D387" t="s">
        <v>3130</v>
      </c>
      <c r="E387" t="s">
        <v>3131</v>
      </c>
      <c r="F387" t="s">
        <v>2290</v>
      </c>
      <c r="G387" t="s">
        <v>3132</v>
      </c>
      <c r="H387" t="s">
        <v>22</v>
      </c>
      <c r="I387" t="s">
        <v>857</v>
      </c>
    </row>
    <row r="388" spans="1:9" ht="11.25" customHeight="1">
      <c r="A388" t="s">
        <v>2250</v>
      </c>
      <c r="B388" t="s">
        <v>16</v>
      </c>
      <c r="C388" t="s">
        <v>2681</v>
      </c>
      <c r="D388" t="s">
        <v>2682</v>
      </c>
      <c r="E388" t="s">
        <v>2683</v>
      </c>
      <c r="F388" t="s">
        <v>2330</v>
      </c>
      <c r="G388" t="s">
        <v>22</v>
      </c>
      <c r="H388" t="s">
        <v>22</v>
      </c>
      <c r="I388" t="s">
        <v>857</v>
      </c>
    </row>
    <row r="389" spans="1:9" ht="11.25" customHeight="1">
      <c r="A389" t="s">
        <v>2250</v>
      </c>
      <c r="B389" t="s">
        <v>16</v>
      </c>
      <c r="C389" t="s">
        <v>2684</v>
      </c>
      <c r="D389" t="s">
        <v>2685</v>
      </c>
      <c r="E389" t="s">
        <v>2686</v>
      </c>
      <c r="F389" t="s">
        <v>2488</v>
      </c>
      <c r="G389" t="s">
        <v>22</v>
      </c>
      <c r="H389" t="s">
        <v>22</v>
      </c>
      <c r="I389" t="s">
        <v>857</v>
      </c>
    </row>
    <row r="390" spans="1:9" ht="11.25" customHeight="1">
      <c r="A390" t="s">
        <v>2250</v>
      </c>
      <c r="B390" t="s">
        <v>16</v>
      </c>
      <c r="C390" t="s">
        <v>2687</v>
      </c>
      <c r="D390" t="s">
        <v>2688</v>
      </c>
      <c r="E390" t="s">
        <v>2689</v>
      </c>
      <c r="F390" t="s">
        <v>2690</v>
      </c>
      <c r="G390" t="s">
        <v>2691</v>
      </c>
      <c r="H390" t="s">
        <v>22</v>
      </c>
      <c r="I390" t="s">
        <v>857</v>
      </c>
    </row>
    <row r="391" spans="1:9" ht="11.25" customHeight="1">
      <c r="A391" t="s">
        <v>2250</v>
      </c>
      <c r="B391" t="s">
        <v>16</v>
      </c>
      <c r="C391" t="s">
        <v>3133</v>
      </c>
      <c r="D391" t="s">
        <v>3134</v>
      </c>
      <c r="E391" t="s">
        <v>3135</v>
      </c>
      <c r="F391" t="s">
        <v>2311</v>
      </c>
      <c r="G391" t="s">
        <v>22</v>
      </c>
      <c r="H391" t="s">
        <v>22</v>
      </c>
      <c r="I391" t="s">
        <v>857</v>
      </c>
    </row>
    <row r="392" spans="1:9" ht="11.25" customHeight="1">
      <c r="A392" t="s">
        <v>2250</v>
      </c>
      <c r="B392" t="s">
        <v>16</v>
      </c>
      <c r="C392" t="s">
        <v>2692</v>
      </c>
      <c r="D392" t="s">
        <v>2693</v>
      </c>
      <c r="E392" t="s">
        <v>2694</v>
      </c>
      <c r="F392" t="s">
        <v>2362</v>
      </c>
      <c r="G392" t="s">
        <v>22</v>
      </c>
      <c r="H392" t="s">
        <v>22</v>
      </c>
      <c r="I392" t="s">
        <v>857</v>
      </c>
    </row>
    <row r="393" spans="1:9" ht="11.25" customHeight="1">
      <c r="A393" t="s">
        <v>2250</v>
      </c>
      <c r="B393" t="s">
        <v>16</v>
      </c>
      <c r="C393" t="s">
        <v>3136</v>
      </c>
      <c r="D393" t="s">
        <v>3137</v>
      </c>
      <c r="E393" t="s">
        <v>3138</v>
      </c>
      <c r="F393" t="s">
        <v>2341</v>
      </c>
      <c r="G393" t="s">
        <v>22</v>
      </c>
      <c r="H393" t="s">
        <v>22</v>
      </c>
      <c r="I393" t="s">
        <v>857</v>
      </c>
    </row>
    <row r="394" spans="1:9" ht="11.25" customHeight="1">
      <c r="A394" t="s">
        <v>2250</v>
      </c>
      <c r="B394" t="s">
        <v>16</v>
      </c>
      <c r="C394" t="s">
        <v>2701</v>
      </c>
      <c r="D394" t="s">
        <v>2702</v>
      </c>
      <c r="E394" t="s">
        <v>2703</v>
      </c>
      <c r="F394" t="s">
        <v>2311</v>
      </c>
      <c r="G394" t="s">
        <v>22</v>
      </c>
      <c r="H394" t="s">
        <v>22</v>
      </c>
      <c r="I394" t="s">
        <v>857</v>
      </c>
    </row>
    <row r="395" spans="1:9" ht="11.25" customHeight="1">
      <c r="A395" t="s">
        <v>2250</v>
      </c>
      <c r="B395" t="s">
        <v>16</v>
      </c>
      <c r="C395" t="s">
        <v>2704</v>
      </c>
      <c r="D395" t="s">
        <v>2705</v>
      </c>
      <c r="E395" t="s">
        <v>2706</v>
      </c>
      <c r="F395" t="s">
        <v>2286</v>
      </c>
      <c r="G395" t="s">
        <v>22</v>
      </c>
      <c r="H395" t="s">
        <v>22</v>
      </c>
      <c r="I395" t="s">
        <v>857</v>
      </c>
    </row>
    <row r="396" spans="1:9" ht="11.25" customHeight="1">
      <c r="A396" t="s">
        <v>2250</v>
      </c>
      <c r="B396" t="s">
        <v>16</v>
      </c>
      <c r="C396" t="s">
        <v>2707</v>
      </c>
      <c r="D396" t="s">
        <v>2708</v>
      </c>
      <c r="E396" t="s">
        <v>2709</v>
      </c>
      <c r="F396" t="s">
        <v>2286</v>
      </c>
      <c r="G396" t="s">
        <v>22</v>
      </c>
      <c r="H396" t="s">
        <v>22</v>
      </c>
      <c r="I396" t="s">
        <v>857</v>
      </c>
    </row>
    <row r="397" spans="1:9" ht="11.25" customHeight="1">
      <c r="A397" t="s">
        <v>2250</v>
      </c>
      <c r="B397" t="s">
        <v>16</v>
      </c>
      <c r="C397" t="s">
        <v>2710</v>
      </c>
      <c r="D397" t="s">
        <v>2711</v>
      </c>
      <c r="E397" t="s">
        <v>2712</v>
      </c>
      <c r="F397" t="s">
        <v>2713</v>
      </c>
      <c r="G397" t="s">
        <v>22</v>
      </c>
      <c r="H397" t="s">
        <v>22</v>
      </c>
      <c r="I397" t="s">
        <v>857</v>
      </c>
    </row>
    <row r="398" spans="1:9" ht="11.25" customHeight="1">
      <c r="A398" t="s">
        <v>2250</v>
      </c>
      <c r="B398" t="s">
        <v>16</v>
      </c>
      <c r="C398" t="s">
        <v>2720</v>
      </c>
      <c r="D398" t="s">
        <v>2721</v>
      </c>
      <c r="E398" t="s">
        <v>2722</v>
      </c>
      <c r="F398" t="s">
        <v>2254</v>
      </c>
      <c r="G398" t="s">
        <v>22</v>
      </c>
      <c r="H398" t="s">
        <v>22</v>
      </c>
      <c r="I398" t="s">
        <v>857</v>
      </c>
    </row>
    <row r="399" spans="1:9" ht="11.25" customHeight="1">
      <c r="A399" t="s">
        <v>2250</v>
      </c>
      <c r="B399" t="s">
        <v>16</v>
      </c>
      <c r="C399" t="s">
        <v>2723</v>
      </c>
      <c r="D399" t="s">
        <v>2724</v>
      </c>
      <c r="E399" t="s">
        <v>2725</v>
      </c>
      <c r="F399" t="s">
        <v>2417</v>
      </c>
      <c r="G399" t="s">
        <v>22</v>
      </c>
      <c r="H399" t="s">
        <v>22</v>
      </c>
      <c r="I399" t="s">
        <v>857</v>
      </c>
    </row>
    <row r="400" spans="1:9" ht="11.25" customHeight="1">
      <c r="A400" t="s">
        <v>2250</v>
      </c>
      <c r="B400" t="s">
        <v>16</v>
      </c>
      <c r="C400" t="s">
        <v>3139</v>
      </c>
      <c r="D400" t="s">
        <v>3140</v>
      </c>
      <c r="E400" t="s">
        <v>3141</v>
      </c>
      <c r="F400" t="s">
        <v>2318</v>
      </c>
      <c r="G400" t="s">
        <v>22</v>
      </c>
      <c r="H400" t="s">
        <v>22</v>
      </c>
      <c r="I400" t="s">
        <v>857</v>
      </c>
    </row>
    <row r="401" spans="1:9" ht="11.25" customHeight="1">
      <c r="A401" t="s">
        <v>2250</v>
      </c>
      <c r="B401" t="s">
        <v>16</v>
      </c>
      <c r="C401" t="s">
        <v>3142</v>
      </c>
      <c r="D401" t="s">
        <v>3143</v>
      </c>
      <c r="E401" t="s">
        <v>3144</v>
      </c>
      <c r="F401" t="s">
        <v>2366</v>
      </c>
      <c r="G401" t="s">
        <v>3145</v>
      </c>
      <c r="H401" t="s">
        <v>22</v>
      </c>
      <c r="I401" t="s">
        <v>857</v>
      </c>
    </row>
    <row r="402" spans="1:9" ht="11.25" customHeight="1">
      <c r="A402" t="s">
        <v>2250</v>
      </c>
      <c r="B402" t="s">
        <v>16</v>
      </c>
      <c r="C402" t="s">
        <v>2726</v>
      </c>
      <c r="D402" t="s">
        <v>2727</v>
      </c>
      <c r="E402" t="s">
        <v>2728</v>
      </c>
      <c r="F402" t="s">
        <v>2254</v>
      </c>
      <c r="G402" t="s">
        <v>22</v>
      </c>
      <c r="H402" t="s">
        <v>22</v>
      </c>
      <c r="I402" t="s">
        <v>857</v>
      </c>
    </row>
    <row r="403" spans="1:9" ht="11.25" customHeight="1">
      <c r="A403" t="s">
        <v>2250</v>
      </c>
      <c r="B403" t="s">
        <v>16</v>
      </c>
      <c r="C403" t="s">
        <v>2729</v>
      </c>
      <c r="D403" t="s">
        <v>2730</v>
      </c>
      <c r="E403" t="s">
        <v>2731</v>
      </c>
      <c r="F403" t="s">
        <v>2330</v>
      </c>
      <c r="G403" t="s">
        <v>22</v>
      </c>
      <c r="H403" t="s">
        <v>22</v>
      </c>
      <c r="I403" t="s">
        <v>857</v>
      </c>
    </row>
    <row r="404" spans="1:9" ht="11.25" customHeight="1">
      <c r="A404" t="s">
        <v>2250</v>
      </c>
      <c r="B404" t="s">
        <v>16</v>
      </c>
      <c r="C404" t="s">
        <v>3146</v>
      </c>
      <c r="D404" t="s">
        <v>3147</v>
      </c>
      <c r="E404" t="s">
        <v>3148</v>
      </c>
      <c r="F404" t="s">
        <v>2521</v>
      </c>
      <c r="G404" t="s">
        <v>22</v>
      </c>
      <c r="H404" t="s">
        <v>22</v>
      </c>
      <c r="I404" t="s">
        <v>857</v>
      </c>
    </row>
    <row r="405" spans="1:9" ht="11.25" customHeight="1">
      <c r="A405" t="s">
        <v>2250</v>
      </c>
      <c r="B405" t="s">
        <v>16</v>
      </c>
      <c r="C405" t="s">
        <v>3149</v>
      </c>
      <c r="D405" t="s">
        <v>3150</v>
      </c>
      <c r="E405" t="s">
        <v>3151</v>
      </c>
      <c r="F405" t="s">
        <v>2282</v>
      </c>
      <c r="G405" t="s">
        <v>22</v>
      </c>
      <c r="H405" t="s">
        <v>22</v>
      </c>
      <c r="I405" t="s">
        <v>857</v>
      </c>
    </row>
    <row r="406" spans="1:9" ht="11.25" customHeight="1">
      <c r="A406" t="s">
        <v>2250</v>
      </c>
      <c r="B406" t="s">
        <v>16</v>
      </c>
      <c r="C406" t="s">
        <v>2739</v>
      </c>
      <c r="D406" t="s">
        <v>2740</v>
      </c>
      <c r="E406" t="s">
        <v>2741</v>
      </c>
      <c r="F406" t="s">
        <v>2417</v>
      </c>
      <c r="G406" t="s">
        <v>2742</v>
      </c>
      <c r="H406" t="s">
        <v>22</v>
      </c>
      <c r="I406" t="s">
        <v>857</v>
      </c>
    </row>
    <row r="407" spans="1:9" ht="11.25" customHeight="1">
      <c r="A407" t="s">
        <v>2250</v>
      </c>
      <c r="B407" t="s">
        <v>16</v>
      </c>
      <c r="C407" t="s">
        <v>3152</v>
      </c>
      <c r="D407" t="s">
        <v>3153</v>
      </c>
      <c r="E407" t="s">
        <v>3154</v>
      </c>
      <c r="F407" t="s">
        <v>2330</v>
      </c>
      <c r="G407" t="s">
        <v>22</v>
      </c>
      <c r="H407" t="s">
        <v>22</v>
      </c>
      <c r="I407" t="s">
        <v>857</v>
      </c>
    </row>
    <row r="408" spans="1:9" ht="11.25" customHeight="1">
      <c r="A408" t="s">
        <v>2250</v>
      </c>
      <c r="B408" t="s">
        <v>16</v>
      </c>
      <c r="C408" t="s">
        <v>2746</v>
      </c>
      <c r="D408" t="s">
        <v>2747</v>
      </c>
      <c r="E408" t="s">
        <v>2748</v>
      </c>
      <c r="F408" t="s">
        <v>2381</v>
      </c>
      <c r="G408" t="s">
        <v>22</v>
      </c>
      <c r="H408" t="s">
        <v>22</v>
      </c>
      <c r="I408" t="s">
        <v>857</v>
      </c>
    </row>
    <row r="409" spans="1:9" ht="11.25" customHeight="1">
      <c r="A409" t="s">
        <v>2250</v>
      </c>
      <c r="B409" t="s">
        <v>16</v>
      </c>
      <c r="C409" t="s">
        <v>3155</v>
      </c>
      <c r="D409" t="s">
        <v>3156</v>
      </c>
      <c r="E409" t="s">
        <v>3157</v>
      </c>
      <c r="F409" t="s">
        <v>2808</v>
      </c>
      <c r="G409" t="s">
        <v>22</v>
      </c>
      <c r="H409" t="s">
        <v>22</v>
      </c>
      <c r="I409" t="s">
        <v>857</v>
      </c>
    </row>
    <row r="410" spans="1:9" ht="11.25" customHeight="1">
      <c r="A410" t="s">
        <v>2250</v>
      </c>
      <c r="B410" t="s">
        <v>16</v>
      </c>
      <c r="C410" t="s">
        <v>2756</v>
      </c>
      <c r="D410" t="s">
        <v>2757</v>
      </c>
      <c r="E410" t="s">
        <v>2758</v>
      </c>
      <c r="F410" t="s">
        <v>2759</v>
      </c>
      <c r="G410" t="s">
        <v>22</v>
      </c>
      <c r="H410" t="s">
        <v>22</v>
      </c>
      <c r="I410" t="s">
        <v>857</v>
      </c>
    </row>
    <row r="411" spans="1:9" ht="11.25" customHeight="1">
      <c r="A411" t="s">
        <v>2250</v>
      </c>
      <c r="B411" t="s">
        <v>16</v>
      </c>
      <c r="C411" t="s">
        <v>3158</v>
      </c>
      <c r="D411" t="s">
        <v>3159</v>
      </c>
      <c r="E411" t="s">
        <v>3160</v>
      </c>
      <c r="F411" t="s">
        <v>2366</v>
      </c>
      <c r="G411" t="s">
        <v>22</v>
      </c>
      <c r="H411" t="s">
        <v>22</v>
      </c>
      <c r="I411" t="s">
        <v>857</v>
      </c>
    </row>
    <row r="412" spans="1:9" ht="11.25" customHeight="1">
      <c r="A412" t="s">
        <v>2250</v>
      </c>
      <c r="B412" t="s">
        <v>16</v>
      </c>
      <c r="C412" t="s">
        <v>2763</v>
      </c>
      <c r="D412" t="s">
        <v>2764</v>
      </c>
      <c r="E412" t="s">
        <v>2765</v>
      </c>
      <c r="F412" t="s">
        <v>2337</v>
      </c>
      <c r="G412" t="s">
        <v>22</v>
      </c>
      <c r="H412" t="s">
        <v>22</v>
      </c>
      <c r="I412" t="s">
        <v>857</v>
      </c>
    </row>
    <row r="413" spans="1:9" ht="11.25" customHeight="1">
      <c r="A413" t="s">
        <v>2250</v>
      </c>
      <c r="B413" t="s">
        <v>16</v>
      </c>
      <c r="C413" t="s">
        <v>3161</v>
      </c>
      <c r="D413" t="s">
        <v>3162</v>
      </c>
      <c r="E413" t="s">
        <v>3163</v>
      </c>
      <c r="F413" t="s">
        <v>2303</v>
      </c>
      <c r="G413" t="s">
        <v>22</v>
      </c>
      <c r="H413" t="s">
        <v>22</v>
      </c>
      <c r="I413" t="s">
        <v>857</v>
      </c>
    </row>
    <row r="414" spans="1:9" ht="11.25" customHeight="1">
      <c r="A414" t="s">
        <v>2250</v>
      </c>
      <c r="B414" t="s">
        <v>16</v>
      </c>
      <c r="C414" t="s">
        <v>3164</v>
      </c>
      <c r="D414" t="s">
        <v>3165</v>
      </c>
      <c r="E414" t="s">
        <v>3166</v>
      </c>
      <c r="F414" t="s">
        <v>2254</v>
      </c>
      <c r="G414" t="s">
        <v>22</v>
      </c>
      <c r="H414" t="s">
        <v>22</v>
      </c>
      <c r="I414" t="s">
        <v>857</v>
      </c>
    </row>
    <row r="415" spans="1:9" ht="11.25" customHeight="1">
      <c r="A415" t="s">
        <v>2250</v>
      </c>
      <c r="B415" t="s">
        <v>16</v>
      </c>
      <c r="C415" t="s">
        <v>3167</v>
      </c>
      <c r="D415" t="s">
        <v>3168</v>
      </c>
      <c r="E415" t="s">
        <v>3169</v>
      </c>
      <c r="F415" t="s">
        <v>2417</v>
      </c>
      <c r="G415" t="s">
        <v>22</v>
      </c>
      <c r="H415" t="s">
        <v>22</v>
      </c>
      <c r="I415" t="s">
        <v>857</v>
      </c>
    </row>
    <row r="416" spans="1:9" ht="11.25" customHeight="1">
      <c r="A416" t="s">
        <v>2250</v>
      </c>
      <c r="B416" t="s">
        <v>16</v>
      </c>
      <c r="C416" t="s">
        <v>2812</v>
      </c>
      <c r="D416" t="s">
        <v>2813</v>
      </c>
      <c r="E416" t="s">
        <v>2814</v>
      </c>
      <c r="F416" t="s">
        <v>2815</v>
      </c>
      <c r="G416" t="s">
        <v>22</v>
      </c>
      <c r="H416" t="s">
        <v>22</v>
      </c>
      <c r="I416" t="s">
        <v>857</v>
      </c>
    </row>
    <row r="417" spans="1:9" ht="11.25" customHeight="1">
      <c r="A417" t="s">
        <v>2250</v>
      </c>
      <c r="B417" t="s">
        <v>16</v>
      </c>
      <c r="C417" t="s">
        <v>2816</v>
      </c>
      <c r="D417" t="s">
        <v>2813</v>
      </c>
      <c r="E417" t="s">
        <v>2817</v>
      </c>
      <c r="F417" t="s">
        <v>2818</v>
      </c>
      <c r="G417" t="s">
        <v>22</v>
      </c>
      <c r="H417" t="s">
        <v>22</v>
      </c>
      <c r="I417" t="s">
        <v>857</v>
      </c>
    </row>
    <row r="418" spans="1:9" ht="11.25" customHeight="1">
      <c r="A418" t="s">
        <v>2250</v>
      </c>
      <c r="B418" t="s">
        <v>16</v>
      </c>
      <c r="C418" t="s">
        <v>2821</v>
      </c>
      <c r="D418" t="s">
        <v>2822</v>
      </c>
      <c r="E418" t="s">
        <v>2823</v>
      </c>
      <c r="F418" t="s">
        <v>2254</v>
      </c>
      <c r="G418" t="s">
        <v>22</v>
      </c>
      <c r="H418" t="s">
        <v>22</v>
      </c>
      <c r="I418" t="s">
        <v>857</v>
      </c>
    </row>
    <row r="419" spans="1:9" ht="11.25" customHeight="1">
      <c r="A419" t="s">
        <v>2250</v>
      </c>
      <c r="B419" t="s">
        <v>16</v>
      </c>
      <c r="C419" t="s">
        <v>3170</v>
      </c>
      <c r="D419" t="s">
        <v>3171</v>
      </c>
      <c r="E419" t="s">
        <v>3172</v>
      </c>
      <c r="F419" t="s">
        <v>2492</v>
      </c>
      <c r="G419" t="s">
        <v>22</v>
      </c>
      <c r="H419" t="s">
        <v>22</v>
      </c>
      <c r="I419" t="s">
        <v>857</v>
      </c>
    </row>
    <row r="420" spans="1:9" ht="11.25" customHeight="1">
      <c r="A420" t="s">
        <v>2250</v>
      </c>
      <c r="B420" t="s">
        <v>16</v>
      </c>
      <c r="C420" t="s">
        <v>3173</v>
      </c>
      <c r="D420" t="s">
        <v>3174</v>
      </c>
      <c r="E420" t="s">
        <v>3175</v>
      </c>
      <c r="F420" t="s">
        <v>2674</v>
      </c>
      <c r="G420" t="s">
        <v>22</v>
      </c>
      <c r="H420" t="s">
        <v>22</v>
      </c>
      <c r="I420" t="s">
        <v>857</v>
      </c>
    </row>
    <row r="421" spans="1:9" ht="11.25" customHeight="1">
      <c r="A421" t="s">
        <v>2250</v>
      </c>
      <c r="B421" t="s">
        <v>16</v>
      </c>
      <c r="C421" t="s">
        <v>3176</v>
      </c>
      <c r="D421" t="s">
        <v>3177</v>
      </c>
      <c r="E421" t="s">
        <v>3178</v>
      </c>
      <c r="F421" t="s">
        <v>2254</v>
      </c>
      <c r="G421" t="s">
        <v>22</v>
      </c>
      <c r="H421" t="s">
        <v>22</v>
      </c>
      <c r="I421" t="s">
        <v>857</v>
      </c>
    </row>
    <row r="422" spans="1:9" ht="11.25" customHeight="1">
      <c r="A422" t="s">
        <v>2250</v>
      </c>
      <c r="B422" t="s">
        <v>16</v>
      </c>
      <c r="C422" t="s">
        <v>3179</v>
      </c>
      <c r="D422" t="s">
        <v>3180</v>
      </c>
      <c r="E422" t="s">
        <v>3181</v>
      </c>
      <c r="F422" t="s">
        <v>2311</v>
      </c>
      <c r="G422" t="s">
        <v>22</v>
      </c>
      <c r="H422" t="s">
        <v>22</v>
      </c>
      <c r="I422" t="s">
        <v>857</v>
      </c>
    </row>
    <row r="423" spans="1:9" ht="11.25" customHeight="1">
      <c r="A423" t="s">
        <v>2250</v>
      </c>
      <c r="B423" t="s">
        <v>16</v>
      </c>
      <c r="C423" t="s">
        <v>3182</v>
      </c>
      <c r="D423" t="s">
        <v>3183</v>
      </c>
      <c r="E423" t="s">
        <v>3184</v>
      </c>
      <c r="F423" t="s">
        <v>2690</v>
      </c>
      <c r="G423" t="s">
        <v>22</v>
      </c>
      <c r="H423" t="s">
        <v>22</v>
      </c>
      <c r="I423" t="s">
        <v>857</v>
      </c>
    </row>
    <row r="424" spans="1:9" ht="11.25" customHeight="1">
      <c r="A424" t="s">
        <v>2250</v>
      </c>
      <c r="B424" t="s">
        <v>16</v>
      </c>
      <c r="C424" t="s">
        <v>3185</v>
      </c>
      <c r="D424" t="s">
        <v>3186</v>
      </c>
      <c r="E424" t="s">
        <v>3187</v>
      </c>
      <c r="F424" t="s">
        <v>2258</v>
      </c>
      <c r="G424" t="s">
        <v>22</v>
      </c>
      <c r="H424" t="s">
        <v>22</v>
      </c>
      <c r="I424" t="s">
        <v>857</v>
      </c>
    </row>
    <row r="425" spans="1:9" ht="11.25" customHeight="1">
      <c r="A425" t="s">
        <v>2250</v>
      </c>
      <c r="B425" t="s">
        <v>16</v>
      </c>
      <c r="C425" t="s">
        <v>3188</v>
      </c>
      <c r="D425" t="s">
        <v>3189</v>
      </c>
      <c r="E425" t="s">
        <v>3190</v>
      </c>
      <c r="F425" t="s">
        <v>2273</v>
      </c>
      <c r="G425" t="s">
        <v>22</v>
      </c>
      <c r="H425" t="s">
        <v>22</v>
      </c>
      <c r="I425" t="s">
        <v>857</v>
      </c>
    </row>
    <row r="426" spans="1:9" ht="11.25" customHeight="1">
      <c r="A426" t="s">
        <v>2250</v>
      </c>
      <c r="B426" t="s">
        <v>16</v>
      </c>
      <c r="C426" t="s">
        <v>3191</v>
      </c>
      <c r="D426" t="s">
        <v>3192</v>
      </c>
      <c r="E426" t="s">
        <v>3193</v>
      </c>
      <c r="F426" t="s">
        <v>2277</v>
      </c>
      <c r="G426" t="s">
        <v>22</v>
      </c>
      <c r="H426" t="s">
        <v>22</v>
      </c>
      <c r="I426" t="s">
        <v>857</v>
      </c>
    </row>
    <row r="427" spans="1:9" ht="11.25" customHeight="1">
      <c r="A427" t="s">
        <v>2250</v>
      </c>
      <c r="B427" t="s">
        <v>16</v>
      </c>
      <c r="C427" t="s">
        <v>3194</v>
      </c>
      <c r="D427" t="s">
        <v>3195</v>
      </c>
      <c r="E427" t="s">
        <v>3196</v>
      </c>
      <c r="F427" t="s">
        <v>2307</v>
      </c>
      <c r="G427" t="s">
        <v>22</v>
      </c>
      <c r="H427" t="s">
        <v>22</v>
      </c>
      <c r="I427" t="s">
        <v>857</v>
      </c>
    </row>
    <row r="428" spans="1:9" ht="11.25" customHeight="1">
      <c r="A428" t="s">
        <v>2250</v>
      </c>
      <c r="B428" t="s">
        <v>16</v>
      </c>
      <c r="C428" t="s">
        <v>3197</v>
      </c>
      <c r="D428" t="s">
        <v>3198</v>
      </c>
      <c r="E428" t="s">
        <v>3199</v>
      </c>
      <c r="F428" t="s">
        <v>2254</v>
      </c>
      <c r="G428" t="s">
        <v>22</v>
      </c>
      <c r="H428" t="s">
        <v>22</v>
      </c>
      <c r="I428" t="s">
        <v>857</v>
      </c>
    </row>
    <row r="429" spans="1:9" ht="11.25" customHeight="1">
      <c r="A429" t="s">
        <v>2250</v>
      </c>
      <c r="B429" t="s">
        <v>16</v>
      </c>
      <c r="C429" t="s">
        <v>3200</v>
      </c>
      <c r="D429" t="s">
        <v>3201</v>
      </c>
      <c r="E429" t="s">
        <v>3202</v>
      </c>
      <c r="F429" t="s">
        <v>2543</v>
      </c>
      <c r="G429" t="s">
        <v>22</v>
      </c>
      <c r="H429" t="s">
        <v>22</v>
      </c>
      <c r="I429" t="s">
        <v>857</v>
      </c>
    </row>
    <row r="430" spans="1:9" ht="11.25" customHeight="1">
      <c r="A430" t="s">
        <v>2250</v>
      </c>
      <c r="B430" t="s">
        <v>16</v>
      </c>
      <c r="C430" t="s">
        <v>3203</v>
      </c>
      <c r="D430" t="s">
        <v>3204</v>
      </c>
      <c r="E430" t="s">
        <v>3205</v>
      </c>
      <c r="F430" t="s">
        <v>2254</v>
      </c>
      <c r="G430" t="s">
        <v>22</v>
      </c>
      <c r="H430" t="s">
        <v>22</v>
      </c>
      <c r="I430" t="s">
        <v>857</v>
      </c>
    </row>
    <row r="431" spans="1:9" ht="11.25" customHeight="1">
      <c r="A431" t="s">
        <v>2250</v>
      </c>
      <c r="B431" t="s">
        <v>16</v>
      </c>
      <c r="C431" t="s">
        <v>3206</v>
      </c>
      <c r="D431" t="s">
        <v>3207</v>
      </c>
      <c r="E431" t="s">
        <v>3208</v>
      </c>
      <c r="F431" t="s">
        <v>2535</v>
      </c>
      <c r="G431" t="s">
        <v>22</v>
      </c>
      <c r="H431" t="s">
        <v>22</v>
      </c>
      <c r="I431" t="s">
        <v>857</v>
      </c>
    </row>
    <row r="432" spans="1:9" ht="11.25" customHeight="1">
      <c r="A432" t="s">
        <v>2250</v>
      </c>
      <c r="B432" t="s">
        <v>16</v>
      </c>
      <c r="C432" t="s">
        <v>3209</v>
      </c>
      <c r="D432" t="s">
        <v>3210</v>
      </c>
      <c r="E432" t="s">
        <v>3211</v>
      </c>
      <c r="F432" t="s">
        <v>2326</v>
      </c>
      <c r="G432" t="s">
        <v>22</v>
      </c>
      <c r="H432" t="s">
        <v>22</v>
      </c>
      <c r="I432" t="s">
        <v>857</v>
      </c>
    </row>
    <row r="433" spans="1:9" ht="11.25" customHeight="1">
      <c r="A433" t="s">
        <v>2250</v>
      </c>
      <c r="B433" t="s">
        <v>16</v>
      </c>
      <c r="C433" t="s">
        <v>3212</v>
      </c>
      <c r="D433" t="s">
        <v>3213</v>
      </c>
      <c r="E433" t="s">
        <v>3214</v>
      </c>
      <c r="F433" t="s">
        <v>2348</v>
      </c>
      <c r="G433" t="s">
        <v>3215</v>
      </c>
      <c r="H433" t="s">
        <v>22</v>
      </c>
      <c r="I433" t="s">
        <v>857</v>
      </c>
    </row>
    <row r="434" spans="1:9" ht="11.25" customHeight="1">
      <c r="A434" t="s">
        <v>2250</v>
      </c>
      <c r="B434" t="s">
        <v>16</v>
      </c>
      <c r="C434" t="s">
        <v>2840</v>
      </c>
      <c r="D434" t="s">
        <v>2841</v>
      </c>
      <c r="E434" t="s">
        <v>2842</v>
      </c>
      <c r="F434" t="s">
        <v>2273</v>
      </c>
      <c r="G434" t="s">
        <v>22</v>
      </c>
      <c r="H434" t="s">
        <v>22</v>
      </c>
      <c r="I434" t="s">
        <v>857</v>
      </c>
    </row>
    <row r="435" spans="1:9" ht="11.25" customHeight="1">
      <c r="A435" t="s">
        <v>2250</v>
      </c>
      <c r="B435" t="s">
        <v>16</v>
      </c>
      <c r="C435" t="s">
        <v>3216</v>
      </c>
      <c r="D435" t="s">
        <v>3217</v>
      </c>
      <c r="E435" t="s">
        <v>3218</v>
      </c>
      <c r="F435" t="s">
        <v>2647</v>
      </c>
      <c r="G435" t="s">
        <v>3219</v>
      </c>
      <c r="H435" t="s">
        <v>22</v>
      </c>
      <c r="I435" t="s">
        <v>857</v>
      </c>
    </row>
    <row r="436" spans="1:9" ht="11.25" customHeight="1">
      <c r="A436" t="s">
        <v>2250</v>
      </c>
      <c r="B436" t="s">
        <v>16</v>
      </c>
      <c r="C436" t="s">
        <v>3220</v>
      </c>
      <c r="D436" t="s">
        <v>3221</v>
      </c>
      <c r="E436" t="s">
        <v>3222</v>
      </c>
      <c r="F436" t="s">
        <v>2366</v>
      </c>
      <c r="G436" t="s">
        <v>22</v>
      </c>
      <c r="H436" t="s">
        <v>22</v>
      </c>
      <c r="I436" t="s">
        <v>857</v>
      </c>
    </row>
    <row r="437" spans="1:9" ht="11.25" customHeight="1">
      <c r="A437" t="s">
        <v>2250</v>
      </c>
      <c r="B437" t="s">
        <v>16</v>
      </c>
      <c r="C437" t="s">
        <v>3223</v>
      </c>
      <c r="D437" t="s">
        <v>3224</v>
      </c>
      <c r="E437" t="s">
        <v>3225</v>
      </c>
      <c r="F437" t="s">
        <v>2602</v>
      </c>
      <c r="G437" t="s">
        <v>3226</v>
      </c>
      <c r="H437" t="s">
        <v>22</v>
      </c>
      <c r="I437" t="s">
        <v>857</v>
      </c>
    </row>
    <row r="438" spans="1:9" ht="11.25" customHeight="1">
      <c r="A438" t="s">
        <v>2250</v>
      </c>
      <c r="B438" t="s">
        <v>16</v>
      </c>
      <c r="C438" t="s">
        <v>3227</v>
      </c>
      <c r="D438" t="s">
        <v>3228</v>
      </c>
      <c r="E438" t="s">
        <v>3229</v>
      </c>
      <c r="F438" t="s">
        <v>3230</v>
      </c>
      <c r="G438" t="s">
        <v>22</v>
      </c>
      <c r="H438" t="s">
        <v>22</v>
      </c>
      <c r="I438" t="s">
        <v>857</v>
      </c>
    </row>
    <row r="439" spans="1:9" ht="11.25" customHeight="1">
      <c r="A439" t="s">
        <v>2250</v>
      </c>
      <c r="B439" t="s">
        <v>16</v>
      </c>
      <c r="C439" t="s">
        <v>3231</v>
      </c>
      <c r="D439" t="s">
        <v>3232</v>
      </c>
      <c r="E439" t="s">
        <v>3233</v>
      </c>
      <c r="F439" t="s">
        <v>2258</v>
      </c>
      <c r="G439" t="s">
        <v>22</v>
      </c>
      <c r="H439" t="s">
        <v>22</v>
      </c>
      <c r="I439" t="s">
        <v>857</v>
      </c>
    </row>
    <row r="440" spans="1:9" ht="11.25" customHeight="1">
      <c r="A440" t="s">
        <v>2250</v>
      </c>
      <c r="B440" t="s">
        <v>16</v>
      </c>
      <c r="C440" t="s">
        <v>2843</v>
      </c>
      <c r="D440" t="s">
        <v>2844</v>
      </c>
      <c r="E440" t="s">
        <v>2845</v>
      </c>
      <c r="F440" t="s">
        <v>2286</v>
      </c>
      <c r="G440" t="s">
        <v>22</v>
      </c>
      <c r="H440" t="s">
        <v>22</v>
      </c>
      <c r="I440" t="s">
        <v>857</v>
      </c>
    </row>
    <row r="441" spans="1:9" ht="11.25" customHeight="1">
      <c r="A441" t="s">
        <v>2250</v>
      </c>
      <c r="B441" t="s">
        <v>16</v>
      </c>
      <c r="C441" t="s">
        <v>3234</v>
      </c>
      <c r="D441" t="s">
        <v>3235</v>
      </c>
      <c r="E441" t="s">
        <v>3236</v>
      </c>
      <c r="F441" t="s">
        <v>2326</v>
      </c>
      <c r="G441" t="s">
        <v>22</v>
      </c>
      <c r="H441" t="s">
        <v>22</v>
      </c>
      <c r="I441" t="s">
        <v>857</v>
      </c>
    </row>
    <row r="442" spans="1:9" ht="11.25" customHeight="1">
      <c r="A442" t="s">
        <v>2250</v>
      </c>
      <c r="B442" t="s">
        <v>16</v>
      </c>
      <c r="C442" t="s">
        <v>2852</v>
      </c>
      <c r="D442" t="s">
        <v>2853</v>
      </c>
      <c r="E442" t="s">
        <v>2854</v>
      </c>
      <c r="F442" t="s">
        <v>2326</v>
      </c>
      <c r="G442" t="s">
        <v>22</v>
      </c>
      <c r="H442" t="s">
        <v>22</v>
      </c>
      <c r="I442" t="s">
        <v>857</v>
      </c>
    </row>
    <row r="443" spans="1:9" ht="11.25" customHeight="1">
      <c r="A443" t="s">
        <v>2250</v>
      </c>
      <c r="B443" t="s">
        <v>16</v>
      </c>
      <c r="C443" t="s">
        <v>2864</v>
      </c>
      <c r="D443" t="s">
        <v>2865</v>
      </c>
      <c r="E443" t="s">
        <v>2866</v>
      </c>
      <c r="F443" t="s">
        <v>2362</v>
      </c>
      <c r="G443" t="s">
        <v>22</v>
      </c>
      <c r="H443" t="s">
        <v>22</v>
      </c>
      <c r="I443" t="s">
        <v>857</v>
      </c>
    </row>
    <row r="444" spans="1:9" ht="11.25" customHeight="1">
      <c r="A444" t="s">
        <v>2250</v>
      </c>
      <c r="B444" t="s">
        <v>16</v>
      </c>
      <c r="C444" t="s">
        <v>3237</v>
      </c>
      <c r="D444" t="s">
        <v>3238</v>
      </c>
      <c r="E444" t="s">
        <v>3239</v>
      </c>
      <c r="F444" t="s">
        <v>2311</v>
      </c>
      <c r="G444" t="s">
        <v>22</v>
      </c>
      <c r="H444" t="s">
        <v>22</v>
      </c>
      <c r="I444" t="s">
        <v>857</v>
      </c>
    </row>
    <row r="445" spans="1:9" ht="11.25" customHeight="1">
      <c r="A445" t="s">
        <v>2250</v>
      </c>
      <c r="B445" t="s">
        <v>16</v>
      </c>
      <c r="C445" t="s">
        <v>2876</v>
      </c>
      <c r="D445" t="s">
        <v>2877</v>
      </c>
      <c r="E445" t="s">
        <v>2878</v>
      </c>
      <c r="F445" t="s">
        <v>2602</v>
      </c>
      <c r="G445" t="s">
        <v>22</v>
      </c>
      <c r="H445" t="s">
        <v>22</v>
      </c>
      <c r="I445" t="s">
        <v>857</v>
      </c>
    </row>
    <row r="446" spans="1:9" ht="11.25" customHeight="1">
      <c r="A446" t="s">
        <v>2250</v>
      </c>
      <c r="B446" t="s">
        <v>16</v>
      </c>
      <c r="C446" t="s">
        <v>2879</v>
      </c>
      <c r="D446" t="s">
        <v>2880</v>
      </c>
      <c r="E446" t="s">
        <v>2881</v>
      </c>
      <c r="F446" t="s">
        <v>2815</v>
      </c>
      <c r="G446" t="s">
        <v>22</v>
      </c>
      <c r="H446" t="s">
        <v>22</v>
      </c>
      <c r="I446" t="s">
        <v>857</v>
      </c>
    </row>
    <row r="447" spans="1:9" ht="11.25" customHeight="1">
      <c r="A447" t="s">
        <v>2250</v>
      </c>
      <c r="B447" t="s">
        <v>16</v>
      </c>
      <c r="C447" t="s">
        <v>3240</v>
      </c>
      <c r="D447" t="s">
        <v>3241</v>
      </c>
      <c r="E447" t="s">
        <v>3242</v>
      </c>
      <c r="F447" t="s">
        <v>2303</v>
      </c>
      <c r="G447" t="s">
        <v>22</v>
      </c>
      <c r="H447" t="s">
        <v>22</v>
      </c>
      <c r="I447" t="s">
        <v>857</v>
      </c>
    </row>
    <row r="448" spans="1:9" ht="11.25" customHeight="1">
      <c r="A448" t="s">
        <v>2250</v>
      </c>
      <c r="B448" t="s">
        <v>16</v>
      </c>
      <c r="C448" t="s">
        <v>3243</v>
      </c>
      <c r="D448" t="s">
        <v>3244</v>
      </c>
      <c r="E448" t="s">
        <v>3245</v>
      </c>
      <c r="F448" t="s">
        <v>2521</v>
      </c>
      <c r="G448" t="s">
        <v>22</v>
      </c>
      <c r="H448" t="s">
        <v>22</v>
      </c>
      <c r="I448" t="s">
        <v>857</v>
      </c>
    </row>
    <row r="449" spans="1:9" ht="11.25" customHeight="1">
      <c r="A449" t="s">
        <v>2250</v>
      </c>
      <c r="B449" t="s">
        <v>16</v>
      </c>
      <c r="C449" t="s">
        <v>2892</v>
      </c>
      <c r="D449" t="s">
        <v>2893</v>
      </c>
      <c r="E449" t="s">
        <v>2894</v>
      </c>
      <c r="F449" t="s">
        <v>2417</v>
      </c>
      <c r="G449" t="s">
        <v>22</v>
      </c>
      <c r="H449" t="s">
        <v>22</v>
      </c>
      <c r="I449" t="s">
        <v>857</v>
      </c>
    </row>
    <row r="450" spans="1:9" ht="11.25" customHeight="1">
      <c r="A450" t="s">
        <v>2250</v>
      </c>
      <c r="B450" t="s">
        <v>16</v>
      </c>
      <c r="C450" t="s">
        <v>2895</v>
      </c>
      <c r="D450" t="s">
        <v>2893</v>
      </c>
      <c r="E450" t="s">
        <v>2894</v>
      </c>
      <c r="F450" t="s">
        <v>2269</v>
      </c>
      <c r="G450" t="s">
        <v>22</v>
      </c>
      <c r="H450" t="s">
        <v>22</v>
      </c>
      <c r="I450" t="s">
        <v>857</v>
      </c>
    </row>
    <row r="451" spans="1:9" ht="11.25" customHeight="1">
      <c r="A451" t="s">
        <v>2250</v>
      </c>
      <c r="B451" t="s">
        <v>16</v>
      </c>
      <c r="C451" t="s">
        <v>2896</v>
      </c>
      <c r="D451" t="s">
        <v>2897</v>
      </c>
      <c r="E451" t="s">
        <v>2898</v>
      </c>
      <c r="F451" t="s">
        <v>2269</v>
      </c>
      <c r="G451" t="s">
        <v>22</v>
      </c>
      <c r="H451" t="s">
        <v>22</v>
      </c>
      <c r="I451" t="s">
        <v>857</v>
      </c>
    </row>
    <row r="452" spans="1:9" ht="11.25" customHeight="1">
      <c r="A452" t="s">
        <v>2250</v>
      </c>
      <c r="B452" t="s">
        <v>16</v>
      </c>
      <c r="C452" t="s">
        <v>3246</v>
      </c>
      <c r="D452" t="s">
        <v>3247</v>
      </c>
      <c r="E452" t="s">
        <v>3248</v>
      </c>
      <c r="F452" t="s">
        <v>3249</v>
      </c>
      <c r="G452" t="s">
        <v>22</v>
      </c>
      <c r="H452" t="s">
        <v>22</v>
      </c>
      <c r="I452" t="s">
        <v>857</v>
      </c>
    </row>
    <row r="453" spans="1:9" ht="11.25" customHeight="1">
      <c r="A453" t="s">
        <v>2250</v>
      </c>
      <c r="B453" t="s">
        <v>16</v>
      </c>
      <c r="C453" t="s">
        <v>3250</v>
      </c>
      <c r="D453" t="s">
        <v>3251</v>
      </c>
      <c r="E453" t="s">
        <v>3252</v>
      </c>
      <c r="F453" t="s">
        <v>3253</v>
      </c>
      <c r="G453" t="s">
        <v>3254</v>
      </c>
      <c r="H453" t="s">
        <v>22</v>
      </c>
      <c r="I453" t="s">
        <v>857</v>
      </c>
    </row>
    <row r="454" spans="1:9" ht="11.25" customHeight="1">
      <c r="A454" t="s">
        <v>2250</v>
      </c>
      <c r="B454" t="s">
        <v>16</v>
      </c>
      <c r="C454" t="s">
        <v>2902</v>
      </c>
      <c r="D454" t="s">
        <v>2903</v>
      </c>
      <c r="E454" t="s">
        <v>2904</v>
      </c>
      <c r="F454" t="s">
        <v>2311</v>
      </c>
      <c r="G454" t="s">
        <v>22</v>
      </c>
      <c r="H454" t="s">
        <v>22</v>
      </c>
      <c r="I454" t="s">
        <v>857</v>
      </c>
    </row>
    <row r="455" spans="1:9" ht="11.25" customHeight="1">
      <c r="A455" t="s">
        <v>2250</v>
      </c>
      <c r="B455" t="s">
        <v>16</v>
      </c>
      <c r="C455" t="s">
        <v>3255</v>
      </c>
      <c r="D455" t="s">
        <v>3256</v>
      </c>
      <c r="E455" t="s">
        <v>3257</v>
      </c>
      <c r="F455" t="s">
        <v>2303</v>
      </c>
      <c r="G455" t="s">
        <v>22</v>
      </c>
      <c r="H455" t="s">
        <v>22</v>
      </c>
      <c r="I455" t="s">
        <v>857</v>
      </c>
    </row>
    <row r="456" spans="1:9" ht="11.25" customHeight="1">
      <c r="A456" t="s">
        <v>2250</v>
      </c>
      <c r="B456" t="s">
        <v>16</v>
      </c>
      <c r="C456" t="s">
        <v>3258</v>
      </c>
      <c r="D456" t="s">
        <v>3259</v>
      </c>
      <c r="E456" t="s">
        <v>3260</v>
      </c>
      <c r="F456" t="s">
        <v>2674</v>
      </c>
      <c r="G456" t="s">
        <v>22</v>
      </c>
      <c r="H456" t="s">
        <v>22</v>
      </c>
      <c r="I456" t="s">
        <v>857</v>
      </c>
    </row>
    <row r="457" spans="1:9" ht="11.25" customHeight="1">
      <c r="A457" t="s">
        <v>2250</v>
      </c>
      <c r="B457" t="s">
        <v>16</v>
      </c>
      <c r="C457" t="s">
        <v>3261</v>
      </c>
      <c r="D457" t="s">
        <v>3262</v>
      </c>
      <c r="E457" t="s">
        <v>3263</v>
      </c>
      <c r="F457" t="s">
        <v>2311</v>
      </c>
      <c r="G457" t="s">
        <v>22</v>
      </c>
      <c r="H457" t="s">
        <v>22</v>
      </c>
      <c r="I457" t="s">
        <v>857</v>
      </c>
    </row>
    <row r="458" spans="1:9" ht="11.25" customHeight="1">
      <c r="A458" t="s">
        <v>2250</v>
      </c>
      <c r="B458" t="s">
        <v>16</v>
      </c>
      <c r="C458" t="s">
        <v>3264</v>
      </c>
      <c r="D458" t="s">
        <v>3265</v>
      </c>
      <c r="E458" t="s">
        <v>3266</v>
      </c>
      <c r="F458" t="s">
        <v>2492</v>
      </c>
      <c r="G458" t="s">
        <v>22</v>
      </c>
      <c r="H458" t="s">
        <v>22</v>
      </c>
      <c r="I458" t="s">
        <v>857</v>
      </c>
    </row>
    <row r="459" spans="1:9" ht="11.25" customHeight="1">
      <c r="A459" t="s">
        <v>2250</v>
      </c>
      <c r="B459" t="s">
        <v>16</v>
      </c>
      <c r="C459" t="s">
        <v>2905</v>
      </c>
      <c r="D459" t="s">
        <v>2906</v>
      </c>
      <c r="E459" t="s">
        <v>2907</v>
      </c>
      <c r="F459" t="s">
        <v>2908</v>
      </c>
      <c r="G459" t="s">
        <v>22</v>
      </c>
      <c r="H459" t="s">
        <v>22</v>
      </c>
      <c r="I459" t="s">
        <v>857</v>
      </c>
    </row>
    <row r="460" spans="1:9" ht="11.25" customHeight="1">
      <c r="A460" t="s">
        <v>2250</v>
      </c>
      <c r="B460" t="s">
        <v>16</v>
      </c>
      <c r="C460" t="s">
        <v>2918</v>
      </c>
      <c r="D460" t="s">
        <v>2919</v>
      </c>
      <c r="E460" t="s">
        <v>2920</v>
      </c>
      <c r="F460" t="s">
        <v>2921</v>
      </c>
      <c r="G460" t="s">
        <v>22</v>
      </c>
      <c r="H460" t="s">
        <v>22</v>
      </c>
      <c r="I460" t="s">
        <v>857</v>
      </c>
    </row>
    <row r="461" spans="1:9" ht="11.25" customHeight="1">
      <c r="A461" t="s">
        <v>2250</v>
      </c>
      <c r="B461" t="s">
        <v>16</v>
      </c>
      <c r="C461" t="s">
        <v>2925</v>
      </c>
      <c r="D461" t="s">
        <v>2926</v>
      </c>
      <c r="E461" t="s">
        <v>2927</v>
      </c>
      <c r="F461" t="s">
        <v>2318</v>
      </c>
      <c r="G461" t="s">
        <v>22</v>
      </c>
      <c r="H461" t="s">
        <v>22</v>
      </c>
      <c r="I461" t="s">
        <v>857</v>
      </c>
    </row>
    <row r="462" spans="1:9" ht="11.25" customHeight="1">
      <c r="A462" t="s">
        <v>2250</v>
      </c>
      <c r="B462" t="s">
        <v>16</v>
      </c>
      <c r="C462" t="s">
        <v>3267</v>
      </c>
      <c r="D462" t="s">
        <v>3268</v>
      </c>
      <c r="E462" t="s">
        <v>3039</v>
      </c>
      <c r="F462" t="s">
        <v>3269</v>
      </c>
      <c r="G462" t="s">
        <v>22</v>
      </c>
      <c r="H462" t="s">
        <v>22</v>
      </c>
      <c r="I462" t="s">
        <v>857</v>
      </c>
    </row>
    <row r="463" spans="1:9" ht="11.25" customHeight="1">
      <c r="A463" t="s">
        <v>2250</v>
      </c>
      <c r="B463" t="s">
        <v>16</v>
      </c>
      <c r="C463" t="s">
        <v>2932</v>
      </c>
      <c r="D463" t="s">
        <v>2933</v>
      </c>
      <c r="E463" t="s">
        <v>2934</v>
      </c>
      <c r="F463" t="s">
        <v>2935</v>
      </c>
      <c r="G463" t="s">
        <v>22</v>
      </c>
      <c r="H463" t="s">
        <v>22</v>
      </c>
      <c r="I463" t="s">
        <v>857</v>
      </c>
    </row>
    <row r="464" spans="1:9" ht="11.25" customHeight="1">
      <c r="A464" t="s">
        <v>2250</v>
      </c>
      <c r="B464" t="s">
        <v>16</v>
      </c>
      <c r="C464" t="s">
        <v>2940</v>
      </c>
      <c r="D464" t="s">
        <v>2941</v>
      </c>
      <c r="E464" t="s">
        <v>2920</v>
      </c>
      <c r="F464" t="s">
        <v>2942</v>
      </c>
      <c r="G464" t="s">
        <v>22</v>
      </c>
      <c r="H464" t="s">
        <v>22</v>
      </c>
      <c r="I464" t="s">
        <v>857</v>
      </c>
    </row>
    <row r="465" spans="1:9" ht="11.25" customHeight="1">
      <c r="A465" t="s">
        <v>2250</v>
      </c>
      <c r="B465" t="s">
        <v>16</v>
      </c>
      <c r="C465" t="s">
        <v>2943</v>
      </c>
      <c r="D465" t="s">
        <v>2944</v>
      </c>
      <c r="E465" t="s">
        <v>2945</v>
      </c>
      <c r="F465" t="s">
        <v>2946</v>
      </c>
      <c r="G465" t="s">
        <v>22</v>
      </c>
      <c r="H465" t="s">
        <v>22</v>
      </c>
      <c r="I465" t="s">
        <v>857</v>
      </c>
    </row>
    <row r="466" spans="1:9" ht="11.25" customHeight="1">
      <c r="A466" t="s">
        <v>2250</v>
      </c>
      <c r="B466" t="s">
        <v>16</v>
      </c>
      <c r="C466" t="s">
        <v>2259</v>
      </c>
      <c r="D466" t="s">
        <v>2260</v>
      </c>
      <c r="E466" t="s">
        <v>2261</v>
      </c>
      <c r="F466" t="s">
        <v>2262</v>
      </c>
      <c r="G466" t="s">
        <v>22</v>
      </c>
      <c r="H466" t="s">
        <v>22</v>
      </c>
      <c r="I466" t="s">
        <v>910</v>
      </c>
    </row>
    <row r="467" spans="1:9" ht="11.25" customHeight="1">
      <c r="A467" t="s">
        <v>2250</v>
      </c>
      <c r="B467" t="s">
        <v>16</v>
      </c>
      <c r="C467" t="s">
        <v>2962</v>
      </c>
      <c r="D467" t="s">
        <v>2963</v>
      </c>
      <c r="E467" t="s">
        <v>2964</v>
      </c>
      <c r="F467" t="s">
        <v>2258</v>
      </c>
      <c r="G467" t="s">
        <v>22</v>
      </c>
      <c r="H467" t="s">
        <v>22</v>
      </c>
      <c r="I467" t="s">
        <v>910</v>
      </c>
    </row>
    <row r="468" spans="1:9" ht="11.25" customHeight="1">
      <c r="A468" t="s">
        <v>2250</v>
      </c>
      <c r="B468" t="s">
        <v>16</v>
      </c>
      <c r="C468" t="s">
        <v>2266</v>
      </c>
      <c r="D468" t="s">
        <v>2267</v>
      </c>
      <c r="E468" t="s">
        <v>2268</v>
      </c>
      <c r="F468" t="s">
        <v>2269</v>
      </c>
      <c r="G468" t="s">
        <v>22</v>
      </c>
      <c r="H468" t="s">
        <v>22</v>
      </c>
      <c r="I468" t="s">
        <v>910</v>
      </c>
    </row>
    <row r="469" spans="1:9" ht="11.25" customHeight="1">
      <c r="A469" t="s">
        <v>2250</v>
      </c>
      <c r="B469" t="s">
        <v>16</v>
      </c>
      <c r="C469" t="s">
        <v>2270</v>
      </c>
      <c r="D469" t="s">
        <v>2271</v>
      </c>
      <c r="E469" t="s">
        <v>2272</v>
      </c>
      <c r="F469" t="s">
        <v>2273</v>
      </c>
      <c r="G469" t="s">
        <v>22</v>
      </c>
      <c r="H469" t="s">
        <v>22</v>
      </c>
      <c r="I469" t="s">
        <v>910</v>
      </c>
    </row>
    <row r="470" spans="1:9" ht="11.25" customHeight="1">
      <c r="A470" t="s">
        <v>2250</v>
      </c>
      <c r="B470" t="s">
        <v>16</v>
      </c>
      <c r="C470" t="s">
        <v>2965</v>
      </c>
      <c r="D470" t="s">
        <v>2966</v>
      </c>
      <c r="E470" t="s">
        <v>2967</v>
      </c>
      <c r="F470" t="s">
        <v>2282</v>
      </c>
      <c r="G470" t="s">
        <v>22</v>
      </c>
      <c r="H470" t="s">
        <v>22</v>
      </c>
      <c r="I470" t="s">
        <v>910</v>
      </c>
    </row>
    <row r="471" spans="1:9" ht="11.25" customHeight="1">
      <c r="A471" t="s">
        <v>2250</v>
      </c>
      <c r="B471" t="s">
        <v>16</v>
      </c>
      <c r="C471" t="s">
        <v>2283</v>
      </c>
      <c r="D471" t="s">
        <v>2284</v>
      </c>
      <c r="E471" t="s">
        <v>2285</v>
      </c>
      <c r="F471" t="s">
        <v>2286</v>
      </c>
      <c r="G471" t="s">
        <v>22</v>
      </c>
      <c r="H471" t="s">
        <v>22</v>
      </c>
      <c r="I471" t="s">
        <v>910</v>
      </c>
    </row>
    <row r="472" spans="1:9" ht="11.25" customHeight="1">
      <c r="A472" t="s">
        <v>2250</v>
      </c>
      <c r="B472" t="s">
        <v>16</v>
      </c>
      <c r="C472" t="s">
        <v>2287</v>
      </c>
      <c r="D472" t="s">
        <v>2288</v>
      </c>
      <c r="E472" t="s">
        <v>2289</v>
      </c>
      <c r="F472" t="s">
        <v>2290</v>
      </c>
      <c r="G472" t="s">
        <v>22</v>
      </c>
      <c r="H472" t="s">
        <v>22</v>
      </c>
      <c r="I472" t="s">
        <v>910</v>
      </c>
    </row>
    <row r="473" spans="1:9" ht="11.25" customHeight="1">
      <c r="A473" t="s">
        <v>2250</v>
      </c>
      <c r="B473" t="s">
        <v>16</v>
      </c>
      <c r="C473" t="s">
        <v>2291</v>
      </c>
      <c r="D473" t="s">
        <v>2292</v>
      </c>
      <c r="E473" t="s">
        <v>2293</v>
      </c>
      <c r="F473" t="s">
        <v>2294</v>
      </c>
      <c r="G473" t="s">
        <v>22</v>
      </c>
      <c r="H473" t="s">
        <v>22</v>
      </c>
      <c r="I473" t="s">
        <v>910</v>
      </c>
    </row>
    <row r="474" spans="1:9" ht="11.25" customHeight="1">
      <c r="A474" t="s">
        <v>2250</v>
      </c>
      <c r="B474" t="s">
        <v>16</v>
      </c>
      <c r="C474" t="s">
        <v>2295</v>
      </c>
      <c r="D474" t="s">
        <v>2292</v>
      </c>
      <c r="E474" t="s">
        <v>2293</v>
      </c>
      <c r="F474" t="s">
        <v>2296</v>
      </c>
      <c r="G474" t="s">
        <v>2297</v>
      </c>
      <c r="H474" t="s">
        <v>22</v>
      </c>
      <c r="I474" t="s">
        <v>910</v>
      </c>
    </row>
    <row r="475" spans="1:9" ht="11.25" customHeight="1">
      <c r="A475" t="s">
        <v>2250</v>
      </c>
      <c r="B475" t="s">
        <v>16</v>
      </c>
      <c r="C475" t="s">
        <v>2298</v>
      </c>
      <c r="D475" t="s">
        <v>2292</v>
      </c>
      <c r="E475" t="s">
        <v>2293</v>
      </c>
      <c r="F475" t="s">
        <v>2299</v>
      </c>
      <c r="G475" t="s">
        <v>22</v>
      </c>
      <c r="H475" t="s">
        <v>22</v>
      </c>
      <c r="I475" t="s">
        <v>910</v>
      </c>
    </row>
    <row r="476" spans="1:9" ht="11.25" customHeight="1">
      <c r="A476" t="s">
        <v>2250</v>
      </c>
      <c r="B476" t="s">
        <v>16</v>
      </c>
      <c r="C476" t="s">
        <v>2968</v>
      </c>
      <c r="D476" t="s">
        <v>2969</v>
      </c>
      <c r="E476" t="s">
        <v>2970</v>
      </c>
      <c r="F476" t="s">
        <v>2311</v>
      </c>
      <c r="G476" t="s">
        <v>22</v>
      </c>
      <c r="H476" t="s">
        <v>22</v>
      </c>
      <c r="I476" t="s">
        <v>910</v>
      </c>
    </row>
    <row r="477" spans="1:9" ht="11.25" customHeight="1">
      <c r="A477" t="s">
        <v>2250</v>
      </c>
      <c r="B477" t="s">
        <v>16</v>
      </c>
      <c r="C477" t="s">
        <v>2315</v>
      </c>
      <c r="D477" t="s">
        <v>2316</v>
      </c>
      <c r="E477" t="s">
        <v>2317</v>
      </c>
      <c r="F477" t="s">
        <v>2318</v>
      </c>
      <c r="G477" t="s">
        <v>22</v>
      </c>
      <c r="H477" t="s">
        <v>22</v>
      </c>
      <c r="I477" t="s">
        <v>910</v>
      </c>
    </row>
    <row r="478" spans="1:9" ht="11.25" customHeight="1">
      <c r="A478" t="s">
        <v>2250</v>
      </c>
      <c r="B478" t="s">
        <v>16</v>
      </c>
      <c r="C478" t="s">
        <v>2319</v>
      </c>
      <c r="D478" t="s">
        <v>2320</v>
      </c>
      <c r="E478" t="s">
        <v>2321</v>
      </c>
      <c r="F478" t="s">
        <v>2322</v>
      </c>
      <c r="G478" t="s">
        <v>22</v>
      </c>
      <c r="H478" t="s">
        <v>22</v>
      </c>
      <c r="I478" t="s">
        <v>910</v>
      </c>
    </row>
    <row r="479" spans="1:9" ht="11.25" customHeight="1">
      <c r="A479" t="s">
        <v>2250</v>
      </c>
      <c r="B479" t="s">
        <v>16</v>
      </c>
      <c r="C479" t="s">
        <v>2323</v>
      </c>
      <c r="D479" t="s">
        <v>2324</v>
      </c>
      <c r="E479" t="s">
        <v>2325</v>
      </c>
      <c r="F479" t="s">
        <v>2326</v>
      </c>
      <c r="G479" t="s">
        <v>22</v>
      </c>
      <c r="H479" t="s">
        <v>22</v>
      </c>
      <c r="I479" t="s">
        <v>910</v>
      </c>
    </row>
    <row r="480" spans="1:9" ht="11.25" customHeight="1">
      <c r="A480" t="s">
        <v>2250</v>
      </c>
      <c r="B480" t="s">
        <v>16</v>
      </c>
      <c r="C480" t="s">
        <v>2338</v>
      </c>
      <c r="D480" t="s">
        <v>2339</v>
      </c>
      <c r="E480" t="s">
        <v>2340</v>
      </c>
      <c r="F480" t="s">
        <v>2341</v>
      </c>
      <c r="G480" t="s">
        <v>22</v>
      </c>
      <c r="H480" t="s">
        <v>22</v>
      </c>
      <c r="I480" t="s">
        <v>910</v>
      </c>
    </row>
    <row r="481" spans="1:9" ht="11.25" customHeight="1">
      <c r="A481" t="s">
        <v>2250</v>
      </c>
      <c r="B481" t="s">
        <v>16</v>
      </c>
      <c r="C481" t="s">
        <v>2974</v>
      </c>
      <c r="D481" t="s">
        <v>2975</v>
      </c>
      <c r="E481" t="s">
        <v>2976</v>
      </c>
      <c r="F481" t="s">
        <v>2348</v>
      </c>
      <c r="G481" t="s">
        <v>22</v>
      </c>
      <c r="H481" t="s">
        <v>22</v>
      </c>
      <c r="I481" t="s">
        <v>910</v>
      </c>
    </row>
    <row r="482" spans="1:9" ht="11.25" customHeight="1">
      <c r="A482" t="s">
        <v>2250</v>
      </c>
      <c r="B482" t="s">
        <v>16</v>
      </c>
      <c r="C482" t="s">
        <v>2349</v>
      </c>
      <c r="D482" t="s">
        <v>2350</v>
      </c>
      <c r="E482" t="s">
        <v>2351</v>
      </c>
      <c r="F482" t="s">
        <v>2330</v>
      </c>
      <c r="G482" t="s">
        <v>22</v>
      </c>
      <c r="H482" t="s">
        <v>22</v>
      </c>
      <c r="I482" t="s">
        <v>910</v>
      </c>
    </row>
    <row r="483" spans="1:9" ht="11.25" customHeight="1">
      <c r="A483" t="s">
        <v>2250</v>
      </c>
      <c r="B483" t="s">
        <v>16</v>
      </c>
      <c r="C483" t="s">
        <v>2352</v>
      </c>
      <c r="D483" t="s">
        <v>2353</v>
      </c>
      <c r="E483" t="s">
        <v>2354</v>
      </c>
      <c r="F483" t="s">
        <v>2355</v>
      </c>
      <c r="G483" t="s">
        <v>22</v>
      </c>
      <c r="H483" t="s">
        <v>22</v>
      </c>
      <c r="I483" t="s">
        <v>910</v>
      </c>
    </row>
    <row r="484" spans="1:9" ht="11.25" customHeight="1">
      <c r="A484" t="s">
        <v>2250</v>
      </c>
      <c r="B484" t="s">
        <v>16</v>
      </c>
      <c r="C484" t="s">
        <v>2363</v>
      </c>
      <c r="D484" t="s">
        <v>2364</v>
      </c>
      <c r="E484" t="s">
        <v>2365</v>
      </c>
      <c r="F484" t="s">
        <v>2366</v>
      </c>
      <c r="G484" t="s">
        <v>22</v>
      </c>
      <c r="H484" t="s">
        <v>22</v>
      </c>
      <c r="I484" t="s">
        <v>910</v>
      </c>
    </row>
    <row r="485" spans="1:9" ht="11.25" customHeight="1">
      <c r="A485" t="s">
        <v>2250</v>
      </c>
      <c r="B485" t="s">
        <v>16</v>
      </c>
      <c r="C485" t="s">
        <v>2367</v>
      </c>
      <c r="D485" t="s">
        <v>2368</v>
      </c>
      <c r="E485" t="s">
        <v>2369</v>
      </c>
      <c r="F485" t="s">
        <v>2370</v>
      </c>
      <c r="G485" t="s">
        <v>22</v>
      </c>
      <c r="H485" t="s">
        <v>22</v>
      </c>
      <c r="I485" t="s">
        <v>910</v>
      </c>
    </row>
    <row r="486" spans="1:9" ht="11.25" customHeight="1">
      <c r="A486" t="s">
        <v>2250</v>
      </c>
      <c r="B486" t="s">
        <v>16</v>
      </c>
      <c r="C486" t="s">
        <v>2371</v>
      </c>
      <c r="D486" t="s">
        <v>2372</v>
      </c>
      <c r="E486" t="s">
        <v>2373</v>
      </c>
      <c r="F486" t="s">
        <v>2303</v>
      </c>
      <c r="G486" t="s">
        <v>22</v>
      </c>
      <c r="H486" t="s">
        <v>22</v>
      </c>
      <c r="I486" t="s">
        <v>910</v>
      </c>
    </row>
    <row r="487" spans="1:9" ht="11.25" customHeight="1">
      <c r="A487" t="s">
        <v>2250</v>
      </c>
      <c r="B487" t="s">
        <v>16</v>
      </c>
      <c r="C487" t="s">
        <v>3270</v>
      </c>
      <c r="D487" t="s">
        <v>3271</v>
      </c>
      <c r="E487" t="s">
        <v>3272</v>
      </c>
      <c r="F487" t="s">
        <v>2303</v>
      </c>
      <c r="G487" t="s">
        <v>22</v>
      </c>
      <c r="H487" t="s">
        <v>22</v>
      </c>
      <c r="I487" t="s">
        <v>910</v>
      </c>
    </row>
    <row r="488" spans="1:9" ht="11.25" customHeight="1">
      <c r="A488" t="s">
        <v>2250</v>
      </c>
      <c r="B488" t="s">
        <v>16</v>
      </c>
      <c r="C488" t="s">
        <v>2378</v>
      </c>
      <c r="D488" t="s">
        <v>2379</v>
      </c>
      <c r="E488" t="s">
        <v>2380</v>
      </c>
      <c r="F488" t="s">
        <v>2381</v>
      </c>
      <c r="G488" t="s">
        <v>22</v>
      </c>
      <c r="H488" t="s">
        <v>22</v>
      </c>
      <c r="I488" t="s">
        <v>910</v>
      </c>
    </row>
    <row r="489" spans="1:9" ht="11.25" customHeight="1">
      <c r="A489" t="s">
        <v>2250</v>
      </c>
      <c r="B489" t="s">
        <v>16</v>
      </c>
      <c r="C489" t="s">
        <v>2382</v>
      </c>
      <c r="D489" t="s">
        <v>2383</v>
      </c>
      <c r="E489" t="s">
        <v>2384</v>
      </c>
      <c r="F489" t="s">
        <v>2326</v>
      </c>
      <c r="G489" t="s">
        <v>22</v>
      </c>
      <c r="H489" t="s">
        <v>22</v>
      </c>
      <c r="I489" t="s">
        <v>910</v>
      </c>
    </row>
    <row r="490" spans="1:9" ht="11.25" customHeight="1">
      <c r="A490" t="s">
        <v>2250</v>
      </c>
      <c r="B490" t="s">
        <v>16</v>
      </c>
      <c r="C490" t="s">
        <v>2385</v>
      </c>
      <c r="D490" t="s">
        <v>2386</v>
      </c>
      <c r="E490" t="s">
        <v>2387</v>
      </c>
      <c r="F490" t="s">
        <v>2388</v>
      </c>
      <c r="G490" t="s">
        <v>22</v>
      </c>
      <c r="H490" t="s">
        <v>22</v>
      </c>
      <c r="I490" t="s">
        <v>910</v>
      </c>
    </row>
    <row r="491" spans="1:9" ht="11.25" customHeight="1">
      <c r="A491" t="s">
        <v>2250</v>
      </c>
      <c r="B491" t="s">
        <v>16</v>
      </c>
      <c r="C491" t="s">
        <v>2389</v>
      </c>
      <c r="D491" t="s">
        <v>2390</v>
      </c>
      <c r="E491" t="s">
        <v>2391</v>
      </c>
      <c r="F491" t="s">
        <v>2370</v>
      </c>
      <c r="G491" t="s">
        <v>22</v>
      </c>
      <c r="H491" t="s">
        <v>22</v>
      </c>
      <c r="I491" t="s">
        <v>910</v>
      </c>
    </row>
    <row r="492" spans="1:9" ht="11.25" customHeight="1">
      <c r="A492" t="s">
        <v>2250</v>
      </c>
      <c r="B492" t="s">
        <v>16</v>
      </c>
      <c r="C492" t="s">
        <v>2392</v>
      </c>
      <c r="D492" t="s">
        <v>2393</v>
      </c>
      <c r="E492" t="s">
        <v>2394</v>
      </c>
      <c r="F492" t="s">
        <v>2286</v>
      </c>
      <c r="G492" t="s">
        <v>2395</v>
      </c>
      <c r="H492" t="s">
        <v>22</v>
      </c>
      <c r="I492" t="s">
        <v>910</v>
      </c>
    </row>
    <row r="493" spans="1:9" ht="11.25" customHeight="1">
      <c r="A493" t="s">
        <v>2250</v>
      </c>
      <c r="B493" t="s">
        <v>16</v>
      </c>
      <c r="C493" t="s">
        <v>2396</v>
      </c>
      <c r="D493" t="s">
        <v>2397</v>
      </c>
      <c r="E493" t="s">
        <v>2398</v>
      </c>
      <c r="F493" t="s">
        <v>2399</v>
      </c>
      <c r="G493" t="s">
        <v>22</v>
      </c>
      <c r="H493" t="s">
        <v>22</v>
      </c>
      <c r="I493" t="s">
        <v>910</v>
      </c>
    </row>
    <row r="494" spans="1:9" ht="11.25" customHeight="1">
      <c r="A494" t="s">
        <v>2250</v>
      </c>
      <c r="B494" t="s">
        <v>16</v>
      </c>
      <c r="C494" t="s">
        <v>2400</v>
      </c>
      <c r="D494" t="s">
        <v>2401</v>
      </c>
      <c r="E494" t="s">
        <v>2402</v>
      </c>
      <c r="F494" t="s">
        <v>2254</v>
      </c>
      <c r="G494" t="s">
        <v>2403</v>
      </c>
      <c r="H494" t="s">
        <v>22</v>
      </c>
      <c r="I494" t="s">
        <v>910</v>
      </c>
    </row>
    <row r="495" spans="1:9" ht="11.25" customHeight="1">
      <c r="A495" t="s">
        <v>2250</v>
      </c>
      <c r="B495" t="s">
        <v>16</v>
      </c>
      <c r="C495" t="s">
        <v>2980</v>
      </c>
      <c r="D495" t="s">
        <v>2981</v>
      </c>
      <c r="E495" t="s">
        <v>2982</v>
      </c>
      <c r="F495" t="s">
        <v>2410</v>
      </c>
      <c r="G495" t="s">
        <v>22</v>
      </c>
      <c r="H495" t="s">
        <v>22</v>
      </c>
      <c r="I495" t="s">
        <v>910</v>
      </c>
    </row>
    <row r="496" spans="1:9" ht="11.25" customHeight="1">
      <c r="A496" t="s">
        <v>2250</v>
      </c>
      <c r="B496" t="s">
        <v>16</v>
      </c>
      <c r="C496" t="s">
        <v>2411</v>
      </c>
      <c r="D496" t="s">
        <v>2412</v>
      </c>
      <c r="E496" t="s">
        <v>2413</v>
      </c>
      <c r="F496" t="s">
        <v>2254</v>
      </c>
      <c r="G496" t="s">
        <v>22</v>
      </c>
      <c r="H496" t="s">
        <v>22</v>
      </c>
      <c r="I496" t="s">
        <v>910</v>
      </c>
    </row>
    <row r="497" spans="1:9" ht="11.25" customHeight="1">
      <c r="A497" t="s">
        <v>2250</v>
      </c>
      <c r="B497" t="s">
        <v>16</v>
      </c>
      <c r="C497" t="s">
        <v>3273</v>
      </c>
      <c r="D497" t="s">
        <v>3274</v>
      </c>
      <c r="E497" t="s">
        <v>3275</v>
      </c>
      <c r="F497" t="s">
        <v>2492</v>
      </c>
      <c r="G497" t="s">
        <v>22</v>
      </c>
      <c r="H497" t="s">
        <v>22</v>
      </c>
      <c r="I497" t="s">
        <v>910</v>
      </c>
    </row>
    <row r="498" spans="1:9" ht="11.25" customHeight="1">
      <c r="A498" t="s">
        <v>2250</v>
      </c>
      <c r="B498" t="s">
        <v>16</v>
      </c>
      <c r="C498" t="s">
        <v>2983</v>
      </c>
      <c r="D498" t="s">
        <v>2984</v>
      </c>
      <c r="E498" t="s">
        <v>2985</v>
      </c>
      <c r="F498" t="s">
        <v>2602</v>
      </c>
      <c r="G498" t="s">
        <v>22</v>
      </c>
      <c r="H498" t="s">
        <v>22</v>
      </c>
      <c r="I498" t="s">
        <v>910</v>
      </c>
    </row>
    <row r="499" spans="1:9" ht="11.25" customHeight="1">
      <c r="A499" t="s">
        <v>2250</v>
      </c>
      <c r="B499" t="s">
        <v>16</v>
      </c>
      <c r="C499" t="s">
        <v>2418</v>
      </c>
      <c r="D499" t="s">
        <v>2419</v>
      </c>
      <c r="E499" t="s">
        <v>2420</v>
      </c>
      <c r="F499" t="s">
        <v>2388</v>
      </c>
      <c r="G499" t="s">
        <v>22</v>
      </c>
      <c r="H499" t="s">
        <v>22</v>
      </c>
      <c r="I499" t="s">
        <v>910</v>
      </c>
    </row>
    <row r="500" spans="1:9" ht="11.25" customHeight="1">
      <c r="A500" t="s">
        <v>2250</v>
      </c>
      <c r="B500" t="s">
        <v>16</v>
      </c>
      <c r="C500" t="s">
        <v>22</v>
      </c>
      <c r="D500" t="s">
        <v>2441</v>
      </c>
      <c r="E500" t="s">
        <v>2442</v>
      </c>
      <c r="F500" t="s">
        <v>2254</v>
      </c>
      <c r="G500" t="s">
        <v>22</v>
      </c>
      <c r="H500" t="s">
        <v>22</v>
      </c>
      <c r="I500" t="s">
        <v>910</v>
      </c>
    </row>
    <row r="501" spans="1:9" ht="11.25" customHeight="1">
      <c r="A501" t="s">
        <v>2250</v>
      </c>
      <c r="B501" t="s">
        <v>16</v>
      </c>
      <c r="C501" t="s">
        <v>2446</v>
      </c>
      <c r="D501" t="s">
        <v>2447</v>
      </c>
      <c r="E501" t="s">
        <v>2448</v>
      </c>
      <c r="F501" t="s">
        <v>2449</v>
      </c>
      <c r="G501" t="s">
        <v>22</v>
      </c>
      <c r="H501" t="s">
        <v>22</v>
      </c>
      <c r="I501" t="s">
        <v>910</v>
      </c>
    </row>
    <row r="502" spans="1:9" ht="11.25" customHeight="1">
      <c r="A502" t="s">
        <v>2250</v>
      </c>
      <c r="B502" t="s">
        <v>16</v>
      </c>
      <c r="C502" t="s">
        <v>2992</v>
      </c>
      <c r="D502" t="s">
        <v>2993</v>
      </c>
      <c r="E502" t="s">
        <v>2994</v>
      </c>
      <c r="F502" t="s">
        <v>579</v>
      </c>
      <c r="G502" t="s">
        <v>22</v>
      </c>
      <c r="H502" t="s">
        <v>22</v>
      </c>
      <c r="I502" t="s">
        <v>910</v>
      </c>
    </row>
    <row r="503" spans="1:9" ht="11.25" customHeight="1">
      <c r="A503" t="s">
        <v>2250</v>
      </c>
      <c r="B503" t="s">
        <v>16</v>
      </c>
      <c r="C503" t="s">
        <v>2460</v>
      </c>
      <c r="D503" t="s">
        <v>2461</v>
      </c>
      <c r="E503" t="s">
        <v>2462</v>
      </c>
      <c r="F503" t="s">
        <v>579</v>
      </c>
      <c r="G503" t="s">
        <v>22</v>
      </c>
      <c r="H503" t="s">
        <v>22</v>
      </c>
      <c r="I503" t="s">
        <v>910</v>
      </c>
    </row>
    <row r="504" spans="1:9" ht="11.25" customHeight="1">
      <c r="A504" t="s">
        <v>2250</v>
      </c>
      <c r="B504" t="s">
        <v>16</v>
      </c>
      <c r="C504" t="s">
        <v>2466</v>
      </c>
      <c r="D504" t="s">
        <v>2467</v>
      </c>
      <c r="E504" t="s">
        <v>2402</v>
      </c>
      <c r="F504" t="s">
        <v>2468</v>
      </c>
      <c r="G504" t="s">
        <v>22</v>
      </c>
      <c r="H504" t="s">
        <v>22</v>
      </c>
      <c r="I504" t="s">
        <v>910</v>
      </c>
    </row>
    <row r="505" spans="1:9" ht="11.25" customHeight="1">
      <c r="A505" t="s">
        <v>2250</v>
      </c>
      <c r="B505" t="s">
        <v>16</v>
      </c>
      <c r="C505" t="s">
        <v>2469</v>
      </c>
      <c r="D505" t="s">
        <v>2470</v>
      </c>
      <c r="E505" t="s">
        <v>2402</v>
      </c>
      <c r="F505" t="s">
        <v>2471</v>
      </c>
      <c r="G505" t="s">
        <v>22</v>
      </c>
      <c r="H505" t="s">
        <v>22</v>
      </c>
      <c r="I505" t="s">
        <v>910</v>
      </c>
    </row>
    <row r="506" spans="1:9" ht="11.25" customHeight="1">
      <c r="A506" t="s">
        <v>2250</v>
      </c>
      <c r="B506" t="s">
        <v>16</v>
      </c>
      <c r="C506" t="s">
        <v>2998</v>
      </c>
      <c r="D506" t="s">
        <v>2999</v>
      </c>
      <c r="E506" t="s">
        <v>3000</v>
      </c>
      <c r="F506" t="s">
        <v>3001</v>
      </c>
      <c r="G506" t="s">
        <v>22</v>
      </c>
      <c r="H506" t="s">
        <v>22</v>
      </c>
      <c r="I506" t="s">
        <v>910</v>
      </c>
    </row>
    <row r="507" spans="1:9" ht="11.25" customHeight="1">
      <c r="A507" t="s">
        <v>2250</v>
      </c>
      <c r="B507" t="s">
        <v>16</v>
      </c>
      <c r="C507" t="s">
        <v>2475</v>
      </c>
      <c r="D507" t="s">
        <v>2476</v>
      </c>
      <c r="E507" t="s">
        <v>2413</v>
      </c>
      <c r="F507" t="s">
        <v>2477</v>
      </c>
      <c r="G507" t="s">
        <v>22</v>
      </c>
      <c r="H507" t="s">
        <v>22</v>
      </c>
      <c r="I507" t="s">
        <v>910</v>
      </c>
    </row>
    <row r="508" spans="1:9" ht="11.25" customHeight="1">
      <c r="A508" t="s">
        <v>2250</v>
      </c>
      <c r="B508" t="s">
        <v>16</v>
      </c>
      <c r="C508" t="s">
        <v>2481</v>
      </c>
      <c r="D508" t="s">
        <v>2482</v>
      </c>
      <c r="E508" t="s">
        <v>2483</v>
      </c>
      <c r="F508" t="s">
        <v>2484</v>
      </c>
      <c r="G508" t="s">
        <v>22</v>
      </c>
      <c r="H508" t="s">
        <v>22</v>
      </c>
      <c r="I508" t="s">
        <v>910</v>
      </c>
    </row>
    <row r="509" spans="1:9" ht="11.25" customHeight="1">
      <c r="A509" t="s">
        <v>2250</v>
      </c>
      <c r="B509" t="s">
        <v>16</v>
      </c>
      <c r="C509" t="s">
        <v>2485</v>
      </c>
      <c r="D509" t="s">
        <v>2486</v>
      </c>
      <c r="E509" t="s">
        <v>2487</v>
      </c>
      <c r="F509" t="s">
        <v>2488</v>
      </c>
      <c r="G509" t="s">
        <v>22</v>
      </c>
      <c r="H509" t="s">
        <v>22</v>
      </c>
      <c r="I509" t="s">
        <v>910</v>
      </c>
    </row>
    <row r="510" spans="1:9" ht="11.25" customHeight="1">
      <c r="A510" t="s">
        <v>2250</v>
      </c>
      <c r="B510" t="s">
        <v>16</v>
      </c>
      <c r="C510" t="s">
        <v>2489</v>
      </c>
      <c r="D510" t="s">
        <v>2490</v>
      </c>
      <c r="E510" t="s">
        <v>2491</v>
      </c>
      <c r="F510" t="s">
        <v>2492</v>
      </c>
      <c r="G510" t="s">
        <v>22</v>
      </c>
      <c r="H510" t="s">
        <v>22</v>
      </c>
      <c r="I510" t="s">
        <v>910</v>
      </c>
    </row>
    <row r="511" spans="1:9" ht="11.25" customHeight="1">
      <c r="A511" t="s">
        <v>2250</v>
      </c>
      <c r="B511" t="s">
        <v>16</v>
      </c>
      <c r="C511" t="s">
        <v>2497</v>
      </c>
      <c r="D511" t="s">
        <v>2498</v>
      </c>
      <c r="E511" t="s">
        <v>2499</v>
      </c>
      <c r="F511" t="s">
        <v>2286</v>
      </c>
      <c r="G511" t="s">
        <v>22</v>
      </c>
      <c r="H511" t="s">
        <v>22</v>
      </c>
      <c r="I511" t="s">
        <v>910</v>
      </c>
    </row>
    <row r="512" spans="1:9" ht="11.25" customHeight="1">
      <c r="A512" t="s">
        <v>2250</v>
      </c>
      <c r="B512" t="s">
        <v>16</v>
      </c>
      <c r="C512" t="s">
        <v>3002</v>
      </c>
      <c r="D512" t="s">
        <v>3003</v>
      </c>
      <c r="E512" t="s">
        <v>3004</v>
      </c>
      <c r="F512" t="s">
        <v>2588</v>
      </c>
      <c r="G512" t="s">
        <v>22</v>
      </c>
      <c r="H512" t="s">
        <v>22</v>
      </c>
      <c r="I512" t="s">
        <v>910</v>
      </c>
    </row>
    <row r="513" spans="1:9" ht="11.25" customHeight="1">
      <c r="A513" t="s">
        <v>2250</v>
      </c>
      <c r="B513" t="s">
        <v>16</v>
      </c>
      <c r="C513" t="s">
        <v>2500</v>
      </c>
      <c r="D513" t="s">
        <v>2501</v>
      </c>
      <c r="E513" t="s">
        <v>2502</v>
      </c>
      <c r="F513" t="s">
        <v>2503</v>
      </c>
      <c r="G513" t="s">
        <v>22</v>
      </c>
      <c r="H513" t="s">
        <v>22</v>
      </c>
      <c r="I513" t="s">
        <v>910</v>
      </c>
    </row>
    <row r="514" spans="1:9" ht="11.25" customHeight="1">
      <c r="A514" t="s">
        <v>2250</v>
      </c>
      <c r="B514" t="s">
        <v>16</v>
      </c>
      <c r="C514" t="s">
        <v>2504</v>
      </c>
      <c r="D514" t="s">
        <v>2505</v>
      </c>
      <c r="E514" t="s">
        <v>2506</v>
      </c>
      <c r="F514" t="s">
        <v>2326</v>
      </c>
      <c r="G514" t="s">
        <v>22</v>
      </c>
      <c r="H514" t="s">
        <v>22</v>
      </c>
      <c r="I514" t="s">
        <v>910</v>
      </c>
    </row>
    <row r="515" spans="1:9" ht="11.25" customHeight="1">
      <c r="A515" t="s">
        <v>2250</v>
      </c>
      <c r="B515" t="s">
        <v>16</v>
      </c>
      <c r="C515" t="s">
        <v>3276</v>
      </c>
      <c r="D515" t="s">
        <v>3277</v>
      </c>
      <c r="E515" t="s">
        <v>3278</v>
      </c>
      <c r="F515" t="s">
        <v>2318</v>
      </c>
      <c r="G515" t="s">
        <v>3279</v>
      </c>
      <c r="H515" t="s">
        <v>22</v>
      </c>
      <c r="I515" t="s">
        <v>910</v>
      </c>
    </row>
    <row r="516" spans="1:9" ht="11.25" customHeight="1">
      <c r="A516" t="s">
        <v>2250</v>
      </c>
      <c r="B516" t="s">
        <v>16</v>
      </c>
      <c r="C516" t="s">
        <v>3008</v>
      </c>
      <c r="D516" t="s">
        <v>3009</v>
      </c>
      <c r="E516" t="s">
        <v>3010</v>
      </c>
      <c r="F516" t="s">
        <v>2303</v>
      </c>
      <c r="G516" t="s">
        <v>3011</v>
      </c>
      <c r="H516" t="s">
        <v>22</v>
      </c>
      <c r="I516" t="s">
        <v>910</v>
      </c>
    </row>
    <row r="517" spans="1:9" ht="11.25" customHeight="1">
      <c r="A517" t="s">
        <v>2250</v>
      </c>
      <c r="B517" t="s">
        <v>16</v>
      </c>
      <c r="C517" t="s">
        <v>3012</v>
      </c>
      <c r="D517" t="s">
        <v>3013</v>
      </c>
      <c r="E517" t="s">
        <v>3014</v>
      </c>
      <c r="F517" t="s">
        <v>2258</v>
      </c>
      <c r="G517" t="s">
        <v>22</v>
      </c>
      <c r="H517" t="s">
        <v>22</v>
      </c>
      <c r="I517" t="s">
        <v>910</v>
      </c>
    </row>
    <row r="518" spans="1:9" ht="11.25" customHeight="1">
      <c r="A518" t="s">
        <v>2250</v>
      </c>
      <c r="B518" t="s">
        <v>16</v>
      </c>
      <c r="C518" t="s">
        <v>2507</v>
      </c>
      <c r="D518" t="s">
        <v>2508</v>
      </c>
      <c r="E518" t="s">
        <v>2509</v>
      </c>
      <c r="F518" t="s">
        <v>2510</v>
      </c>
      <c r="G518" t="s">
        <v>22</v>
      </c>
      <c r="H518" t="s">
        <v>22</v>
      </c>
      <c r="I518" t="s">
        <v>910</v>
      </c>
    </row>
    <row r="519" spans="1:9" ht="11.25" customHeight="1">
      <c r="A519" t="s">
        <v>2250</v>
      </c>
      <c r="B519" t="s">
        <v>16</v>
      </c>
      <c r="C519" t="s">
        <v>2511</v>
      </c>
      <c r="D519" t="s">
        <v>2512</v>
      </c>
      <c r="E519" t="s">
        <v>2513</v>
      </c>
      <c r="F519" t="s">
        <v>2514</v>
      </c>
      <c r="G519" t="s">
        <v>22</v>
      </c>
      <c r="H519" t="s">
        <v>22</v>
      </c>
      <c r="I519" t="s">
        <v>910</v>
      </c>
    </row>
    <row r="520" spans="1:9" ht="11.25" customHeight="1">
      <c r="A520" t="s">
        <v>2250</v>
      </c>
      <c r="B520" t="s">
        <v>16</v>
      </c>
      <c r="C520" t="s">
        <v>3015</v>
      </c>
      <c r="D520" t="s">
        <v>3016</v>
      </c>
      <c r="E520" t="s">
        <v>3017</v>
      </c>
      <c r="F520" t="s">
        <v>2815</v>
      </c>
      <c r="G520" t="s">
        <v>2621</v>
      </c>
      <c r="H520" t="s">
        <v>22</v>
      </c>
      <c r="I520" t="s">
        <v>910</v>
      </c>
    </row>
    <row r="521" spans="1:9" ht="11.25" customHeight="1">
      <c r="A521" t="s">
        <v>2250</v>
      </c>
      <c r="B521" t="s">
        <v>16</v>
      </c>
      <c r="C521" t="s">
        <v>3018</v>
      </c>
      <c r="D521" t="s">
        <v>3019</v>
      </c>
      <c r="E521" t="s">
        <v>3020</v>
      </c>
      <c r="F521" t="s">
        <v>2713</v>
      </c>
      <c r="G521" t="s">
        <v>22</v>
      </c>
      <c r="H521" t="s">
        <v>22</v>
      </c>
      <c r="I521" t="s">
        <v>910</v>
      </c>
    </row>
    <row r="522" spans="1:9" ht="11.25" customHeight="1">
      <c r="A522" t="s">
        <v>2250</v>
      </c>
      <c r="B522" t="s">
        <v>16</v>
      </c>
      <c r="C522" t="s">
        <v>3021</v>
      </c>
      <c r="D522" t="s">
        <v>3022</v>
      </c>
      <c r="E522" t="s">
        <v>3023</v>
      </c>
      <c r="F522" t="s">
        <v>2525</v>
      </c>
      <c r="G522" t="s">
        <v>22</v>
      </c>
      <c r="H522" t="s">
        <v>22</v>
      </c>
      <c r="I522" t="s">
        <v>910</v>
      </c>
    </row>
    <row r="523" spans="1:9" ht="11.25" customHeight="1">
      <c r="A523" t="s">
        <v>2250</v>
      </c>
      <c r="B523" t="s">
        <v>16</v>
      </c>
      <c r="C523" t="s">
        <v>2518</v>
      </c>
      <c r="D523" t="s">
        <v>2519</v>
      </c>
      <c r="E523" t="s">
        <v>2520</v>
      </c>
      <c r="F523" t="s">
        <v>2521</v>
      </c>
      <c r="G523" t="s">
        <v>22</v>
      </c>
      <c r="H523" t="s">
        <v>22</v>
      </c>
      <c r="I523" t="s">
        <v>910</v>
      </c>
    </row>
    <row r="524" spans="1:9" ht="11.25" customHeight="1">
      <c r="A524" t="s">
        <v>2250</v>
      </c>
      <c r="B524" t="s">
        <v>16</v>
      </c>
      <c r="C524" t="s">
        <v>2522</v>
      </c>
      <c r="D524" t="s">
        <v>2523</v>
      </c>
      <c r="E524" t="s">
        <v>2524</v>
      </c>
      <c r="F524" t="s">
        <v>2525</v>
      </c>
      <c r="G524" t="s">
        <v>22</v>
      </c>
      <c r="H524" t="s">
        <v>22</v>
      </c>
      <c r="I524" t="s">
        <v>910</v>
      </c>
    </row>
    <row r="525" spans="1:9" ht="11.25" customHeight="1">
      <c r="A525" t="s">
        <v>2250</v>
      </c>
      <c r="B525" t="s">
        <v>16</v>
      </c>
      <c r="C525" t="s">
        <v>2536</v>
      </c>
      <c r="D525" t="s">
        <v>2537</v>
      </c>
      <c r="E525" t="s">
        <v>2538</v>
      </c>
      <c r="F525" t="s">
        <v>2539</v>
      </c>
      <c r="G525" t="s">
        <v>22</v>
      </c>
      <c r="H525" t="s">
        <v>22</v>
      </c>
      <c r="I525" t="s">
        <v>910</v>
      </c>
    </row>
    <row r="526" spans="1:9" ht="11.25" customHeight="1">
      <c r="A526" t="s">
        <v>2250</v>
      </c>
      <c r="B526" t="s">
        <v>16</v>
      </c>
      <c r="C526" t="s">
        <v>2545</v>
      </c>
      <c r="D526" t="s">
        <v>2546</v>
      </c>
      <c r="E526" t="s">
        <v>2547</v>
      </c>
      <c r="F526" t="s">
        <v>2459</v>
      </c>
      <c r="G526" t="s">
        <v>2548</v>
      </c>
      <c r="H526" t="s">
        <v>22</v>
      </c>
      <c r="I526" t="s">
        <v>910</v>
      </c>
    </row>
    <row r="527" spans="1:9" ht="11.25" customHeight="1">
      <c r="A527" t="s">
        <v>2250</v>
      </c>
      <c r="B527" t="s">
        <v>16</v>
      </c>
      <c r="C527" t="s">
        <v>2552</v>
      </c>
      <c r="D527" t="s">
        <v>2553</v>
      </c>
      <c r="E527" t="s">
        <v>2398</v>
      </c>
      <c r="F527" t="s">
        <v>2554</v>
      </c>
      <c r="G527" t="s">
        <v>22</v>
      </c>
      <c r="H527" t="s">
        <v>22</v>
      </c>
      <c r="I527" t="s">
        <v>910</v>
      </c>
    </row>
    <row r="528" spans="1:9" ht="11.25" customHeight="1">
      <c r="A528" t="s">
        <v>2250</v>
      </c>
      <c r="B528" t="s">
        <v>16</v>
      </c>
      <c r="C528" t="s">
        <v>3024</v>
      </c>
      <c r="D528" t="s">
        <v>3025</v>
      </c>
      <c r="E528" t="s">
        <v>3026</v>
      </c>
      <c r="F528" t="s">
        <v>2640</v>
      </c>
      <c r="G528" t="s">
        <v>22</v>
      </c>
      <c r="H528" t="s">
        <v>22</v>
      </c>
      <c r="I528" t="s">
        <v>910</v>
      </c>
    </row>
    <row r="529" spans="1:9" ht="11.25" customHeight="1">
      <c r="A529" t="s">
        <v>2250</v>
      </c>
      <c r="B529" t="s">
        <v>16</v>
      </c>
      <c r="C529" t="s">
        <v>2558</v>
      </c>
      <c r="D529" t="s">
        <v>2559</v>
      </c>
      <c r="E529" t="s">
        <v>2560</v>
      </c>
      <c r="F529" t="s">
        <v>2362</v>
      </c>
      <c r="G529" t="s">
        <v>22</v>
      </c>
      <c r="H529" t="s">
        <v>22</v>
      </c>
      <c r="I529" t="s">
        <v>910</v>
      </c>
    </row>
    <row r="530" spans="1:9" ht="11.25" customHeight="1">
      <c r="A530" t="s">
        <v>2250</v>
      </c>
      <c r="B530" t="s">
        <v>16</v>
      </c>
      <c r="C530" t="s">
        <v>3030</v>
      </c>
      <c r="D530" t="s">
        <v>3031</v>
      </c>
      <c r="E530" t="s">
        <v>3032</v>
      </c>
      <c r="F530" t="s">
        <v>2337</v>
      </c>
      <c r="G530" t="s">
        <v>3033</v>
      </c>
      <c r="H530" t="s">
        <v>22</v>
      </c>
      <c r="I530" t="s">
        <v>910</v>
      </c>
    </row>
    <row r="531" spans="1:9" ht="11.25" customHeight="1">
      <c r="A531" t="s">
        <v>2250</v>
      </c>
      <c r="B531" t="s">
        <v>16</v>
      </c>
      <c r="C531" t="s">
        <v>2569</v>
      </c>
      <c r="D531" t="s">
        <v>2570</v>
      </c>
      <c r="E531" t="s">
        <v>2571</v>
      </c>
      <c r="F531" t="s">
        <v>2459</v>
      </c>
      <c r="G531" t="s">
        <v>22</v>
      </c>
      <c r="H531" t="s">
        <v>22</v>
      </c>
      <c r="I531" t="s">
        <v>910</v>
      </c>
    </row>
    <row r="532" spans="1:9" ht="11.25" customHeight="1">
      <c r="A532" t="s">
        <v>2250</v>
      </c>
      <c r="B532" t="s">
        <v>16</v>
      </c>
      <c r="C532" t="s">
        <v>2575</v>
      </c>
      <c r="D532" t="s">
        <v>2576</v>
      </c>
      <c r="E532" t="s">
        <v>2577</v>
      </c>
      <c r="F532" t="s">
        <v>2514</v>
      </c>
      <c r="G532" t="s">
        <v>22</v>
      </c>
      <c r="H532" t="s">
        <v>22</v>
      </c>
      <c r="I532" t="s">
        <v>910</v>
      </c>
    </row>
    <row r="533" spans="1:9" ht="11.25" customHeight="1">
      <c r="A533" t="s">
        <v>2250</v>
      </c>
      <c r="B533" t="s">
        <v>16</v>
      </c>
      <c r="C533" t="s">
        <v>2578</v>
      </c>
      <c r="D533" t="s">
        <v>2579</v>
      </c>
      <c r="E533" t="s">
        <v>2580</v>
      </c>
      <c r="F533" t="s">
        <v>2459</v>
      </c>
      <c r="G533" t="s">
        <v>22</v>
      </c>
      <c r="H533" t="s">
        <v>22</v>
      </c>
      <c r="I533" t="s">
        <v>910</v>
      </c>
    </row>
    <row r="534" spans="1:9" ht="11.25" customHeight="1">
      <c r="A534" t="s">
        <v>2250</v>
      </c>
      <c r="B534" t="s">
        <v>16</v>
      </c>
      <c r="C534" t="s">
        <v>3034</v>
      </c>
      <c r="D534" t="s">
        <v>3035</v>
      </c>
      <c r="E534" t="s">
        <v>3036</v>
      </c>
      <c r="F534" t="s">
        <v>2254</v>
      </c>
      <c r="G534" t="s">
        <v>22</v>
      </c>
      <c r="H534" t="s">
        <v>22</v>
      </c>
      <c r="I534" t="s">
        <v>910</v>
      </c>
    </row>
    <row r="535" spans="1:9" ht="11.25" customHeight="1">
      <c r="A535" t="s">
        <v>2250</v>
      </c>
      <c r="B535" t="s">
        <v>16</v>
      </c>
      <c r="C535" t="s">
        <v>3043</v>
      </c>
      <c r="D535" t="s">
        <v>3044</v>
      </c>
      <c r="E535" t="s">
        <v>3045</v>
      </c>
      <c r="F535" t="s">
        <v>2543</v>
      </c>
      <c r="G535" t="s">
        <v>3046</v>
      </c>
      <c r="H535" t="s">
        <v>22</v>
      </c>
      <c r="I535" t="s">
        <v>910</v>
      </c>
    </row>
    <row r="536" spans="1:9" ht="11.25" customHeight="1">
      <c r="A536" t="s">
        <v>2250</v>
      </c>
      <c r="B536" t="s">
        <v>16</v>
      </c>
      <c r="C536" t="s">
        <v>3280</v>
      </c>
      <c r="D536" t="s">
        <v>3281</v>
      </c>
      <c r="E536" t="s">
        <v>3282</v>
      </c>
      <c r="F536" t="s">
        <v>2543</v>
      </c>
      <c r="G536" t="s">
        <v>3283</v>
      </c>
      <c r="H536" t="s">
        <v>22</v>
      </c>
      <c r="I536" t="s">
        <v>910</v>
      </c>
    </row>
    <row r="537" spans="1:9" ht="11.25" customHeight="1">
      <c r="A537" t="s">
        <v>2250</v>
      </c>
      <c r="B537" t="s">
        <v>16</v>
      </c>
      <c r="C537" t="s">
        <v>3047</v>
      </c>
      <c r="D537" t="s">
        <v>3048</v>
      </c>
      <c r="E537" t="s">
        <v>3049</v>
      </c>
      <c r="F537" t="s">
        <v>2521</v>
      </c>
      <c r="G537" t="s">
        <v>22</v>
      </c>
      <c r="H537" t="s">
        <v>22</v>
      </c>
      <c r="I537" t="s">
        <v>910</v>
      </c>
    </row>
    <row r="538" spans="1:9" ht="11.25" customHeight="1">
      <c r="A538" t="s">
        <v>2250</v>
      </c>
      <c r="B538" t="s">
        <v>16</v>
      </c>
      <c r="C538" t="s">
        <v>3053</v>
      </c>
      <c r="D538" t="s">
        <v>3054</v>
      </c>
      <c r="E538" t="s">
        <v>3055</v>
      </c>
      <c r="F538" t="s">
        <v>3056</v>
      </c>
      <c r="G538" t="s">
        <v>3057</v>
      </c>
      <c r="H538" t="s">
        <v>22</v>
      </c>
      <c r="I538" t="s">
        <v>910</v>
      </c>
    </row>
    <row r="539" spans="1:9" ht="11.25" customHeight="1">
      <c r="A539" t="s">
        <v>2250</v>
      </c>
      <c r="B539" t="s">
        <v>16</v>
      </c>
      <c r="C539" t="s">
        <v>2609</v>
      </c>
      <c r="D539" t="s">
        <v>2610</v>
      </c>
      <c r="E539" t="s">
        <v>2611</v>
      </c>
      <c r="F539" t="s">
        <v>2286</v>
      </c>
      <c r="G539" t="s">
        <v>22</v>
      </c>
      <c r="H539" t="s">
        <v>22</v>
      </c>
      <c r="I539" t="s">
        <v>910</v>
      </c>
    </row>
    <row r="540" spans="1:9" ht="11.25" customHeight="1">
      <c r="A540" t="s">
        <v>2250</v>
      </c>
      <c r="B540" t="s">
        <v>16</v>
      </c>
      <c r="C540" t="s">
        <v>3058</v>
      </c>
      <c r="D540" t="s">
        <v>3059</v>
      </c>
      <c r="E540" t="s">
        <v>3060</v>
      </c>
      <c r="F540" t="s">
        <v>2290</v>
      </c>
      <c r="G540" t="s">
        <v>22</v>
      </c>
      <c r="H540" t="s">
        <v>22</v>
      </c>
      <c r="I540" t="s">
        <v>910</v>
      </c>
    </row>
    <row r="541" spans="1:9" ht="11.25" customHeight="1">
      <c r="A541" t="s">
        <v>2250</v>
      </c>
      <c r="B541" t="s">
        <v>16</v>
      </c>
      <c r="C541" t="s">
        <v>3061</v>
      </c>
      <c r="D541" t="s">
        <v>3062</v>
      </c>
      <c r="E541" t="s">
        <v>3063</v>
      </c>
      <c r="F541" t="s">
        <v>2330</v>
      </c>
      <c r="G541" t="s">
        <v>22</v>
      </c>
      <c r="H541" t="s">
        <v>22</v>
      </c>
      <c r="I541" t="s">
        <v>910</v>
      </c>
    </row>
    <row r="542" spans="1:9" ht="11.25" customHeight="1">
      <c r="A542" t="s">
        <v>2250</v>
      </c>
      <c r="B542" t="s">
        <v>16</v>
      </c>
      <c r="C542" t="s">
        <v>3064</v>
      </c>
      <c r="D542" t="s">
        <v>3065</v>
      </c>
      <c r="E542" t="s">
        <v>3066</v>
      </c>
      <c r="F542" t="s">
        <v>2277</v>
      </c>
      <c r="G542" t="s">
        <v>22</v>
      </c>
      <c r="H542" t="s">
        <v>22</v>
      </c>
      <c r="I542" t="s">
        <v>910</v>
      </c>
    </row>
    <row r="543" spans="1:9" ht="11.25" customHeight="1">
      <c r="A543" t="s">
        <v>2250</v>
      </c>
      <c r="B543" t="s">
        <v>16</v>
      </c>
      <c r="C543" t="s">
        <v>3070</v>
      </c>
      <c r="D543" t="s">
        <v>3071</v>
      </c>
      <c r="E543" t="s">
        <v>3072</v>
      </c>
      <c r="F543" t="s">
        <v>2286</v>
      </c>
      <c r="G543" t="s">
        <v>3073</v>
      </c>
      <c r="H543" t="s">
        <v>22</v>
      </c>
      <c r="I543" t="s">
        <v>910</v>
      </c>
    </row>
    <row r="544" spans="1:9" ht="11.25" customHeight="1">
      <c r="A544" t="s">
        <v>2250</v>
      </c>
      <c r="B544" t="s">
        <v>16</v>
      </c>
      <c r="C544" t="s">
        <v>3078</v>
      </c>
      <c r="D544" t="s">
        <v>3079</v>
      </c>
      <c r="E544" t="s">
        <v>3080</v>
      </c>
      <c r="F544" t="s">
        <v>2311</v>
      </c>
      <c r="G544" t="s">
        <v>22</v>
      </c>
      <c r="H544" t="s">
        <v>22</v>
      </c>
      <c r="I544" t="s">
        <v>910</v>
      </c>
    </row>
    <row r="545" spans="1:9" ht="11.25" customHeight="1">
      <c r="A545" t="s">
        <v>2250</v>
      </c>
      <c r="B545" t="s">
        <v>16</v>
      </c>
      <c r="C545" t="s">
        <v>3084</v>
      </c>
      <c r="D545" t="s">
        <v>3082</v>
      </c>
      <c r="E545" t="s">
        <v>3085</v>
      </c>
      <c r="F545" t="s">
        <v>2488</v>
      </c>
      <c r="G545" t="s">
        <v>22</v>
      </c>
      <c r="H545" t="s">
        <v>22</v>
      </c>
      <c r="I545" t="s">
        <v>910</v>
      </c>
    </row>
    <row r="546" spans="1:9" ht="11.25" customHeight="1">
      <c r="A546" t="s">
        <v>2250</v>
      </c>
      <c r="B546" t="s">
        <v>16</v>
      </c>
      <c r="C546" t="s">
        <v>3086</v>
      </c>
      <c r="D546" t="s">
        <v>3082</v>
      </c>
      <c r="E546" t="s">
        <v>3087</v>
      </c>
      <c r="F546" t="s">
        <v>2381</v>
      </c>
      <c r="G546" t="s">
        <v>22</v>
      </c>
      <c r="H546" t="s">
        <v>22</v>
      </c>
      <c r="I546" t="s">
        <v>910</v>
      </c>
    </row>
    <row r="547" spans="1:9" ht="11.25" customHeight="1">
      <c r="A547" t="s">
        <v>2250</v>
      </c>
      <c r="B547" t="s">
        <v>16</v>
      </c>
      <c r="C547" t="s">
        <v>3088</v>
      </c>
      <c r="D547" t="s">
        <v>3089</v>
      </c>
      <c r="E547" t="s">
        <v>3090</v>
      </c>
      <c r="F547" t="s">
        <v>2584</v>
      </c>
      <c r="G547" t="s">
        <v>22</v>
      </c>
      <c r="H547" t="s">
        <v>22</v>
      </c>
      <c r="I547" t="s">
        <v>910</v>
      </c>
    </row>
    <row r="548" spans="1:9" ht="11.25" customHeight="1">
      <c r="A548" t="s">
        <v>2250</v>
      </c>
      <c r="B548" t="s">
        <v>16</v>
      </c>
      <c r="C548" t="s">
        <v>3091</v>
      </c>
      <c r="D548" t="s">
        <v>3092</v>
      </c>
      <c r="E548" t="s">
        <v>3093</v>
      </c>
      <c r="F548" t="s">
        <v>2661</v>
      </c>
      <c r="G548" t="s">
        <v>22</v>
      </c>
      <c r="H548" t="s">
        <v>22</v>
      </c>
      <c r="I548" t="s">
        <v>910</v>
      </c>
    </row>
    <row r="549" spans="1:9" ht="11.25" customHeight="1">
      <c r="A549" t="s">
        <v>2250</v>
      </c>
      <c r="B549" t="s">
        <v>16</v>
      </c>
      <c r="C549" t="s">
        <v>3284</v>
      </c>
      <c r="D549" t="s">
        <v>3285</v>
      </c>
      <c r="E549" t="s">
        <v>3286</v>
      </c>
      <c r="F549" t="s">
        <v>2337</v>
      </c>
      <c r="G549" t="s">
        <v>22</v>
      </c>
      <c r="H549" t="s">
        <v>22</v>
      </c>
      <c r="I549" t="s">
        <v>910</v>
      </c>
    </row>
    <row r="550" spans="1:9" ht="11.25" customHeight="1">
      <c r="A550" t="s">
        <v>2250</v>
      </c>
      <c r="B550" t="s">
        <v>16</v>
      </c>
      <c r="C550" t="s">
        <v>3097</v>
      </c>
      <c r="D550" t="s">
        <v>3098</v>
      </c>
      <c r="E550" t="s">
        <v>3099</v>
      </c>
      <c r="F550" t="s">
        <v>2258</v>
      </c>
      <c r="G550" t="s">
        <v>22</v>
      </c>
      <c r="H550" t="s">
        <v>22</v>
      </c>
      <c r="I550" t="s">
        <v>910</v>
      </c>
    </row>
    <row r="551" spans="1:9" ht="11.25" customHeight="1">
      <c r="A551" t="s">
        <v>2250</v>
      </c>
      <c r="B551" t="s">
        <v>16</v>
      </c>
      <c r="C551" t="s">
        <v>3103</v>
      </c>
      <c r="D551" t="s">
        <v>3104</v>
      </c>
      <c r="E551" t="s">
        <v>3105</v>
      </c>
      <c r="F551" t="s">
        <v>3106</v>
      </c>
      <c r="G551" t="s">
        <v>22</v>
      </c>
      <c r="H551" t="s">
        <v>22</v>
      </c>
      <c r="I551" t="s">
        <v>910</v>
      </c>
    </row>
    <row r="552" spans="1:9" ht="11.25" customHeight="1">
      <c r="A552" t="s">
        <v>2250</v>
      </c>
      <c r="B552" t="s">
        <v>16</v>
      </c>
      <c r="C552" t="s">
        <v>3107</v>
      </c>
      <c r="D552" t="s">
        <v>3108</v>
      </c>
      <c r="E552" t="s">
        <v>3109</v>
      </c>
      <c r="F552" t="s">
        <v>2521</v>
      </c>
      <c r="G552" t="s">
        <v>22</v>
      </c>
      <c r="H552" t="s">
        <v>22</v>
      </c>
      <c r="I552" t="s">
        <v>910</v>
      </c>
    </row>
    <row r="553" spans="1:9" ht="11.25" customHeight="1">
      <c r="A553" t="s">
        <v>2250</v>
      </c>
      <c r="B553" t="s">
        <v>16</v>
      </c>
      <c r="C553" t="s">
        <v>2628</v>
      </c>
      <c r="D553" t="s">
        <v>2629</v>
      </c>
      <c r="E553" t="s">
        <v>2630</v>
      </c>
      <c r="F553" t="s">
        <v>2311</v>
      </c>
      <c r="G553" t="s">
        <v>2631</v>
      </c>
      <c r="H553" t="s">
        <v>22</v>
      </c>
      <c r="I553" t="s">
        <v>910</v>
      </c>
    </row>
    <row r="554" spans="1:9" ht="11.25" customHeight="1">
      <c r="A554" t="s">
        <v>2250</v>
      </c>
      <c r="B554" t="s">
        <v>16</v>
      </c>
      <c r="C554" t="s">
        <v>3110</v>
      </c>
      <c r="D554" t="s">
        <v>3111</v>
      </c>
      <c r="E554" t="s">
        <v>3112</v>
      </c>
      <c r="F554" t="s">
        <v>2818</v>
      </c>
      <c r="G554" t="s">
        <v>22</v>
      </c>
      <c r="H554" t="s">
        <v>22</v>
      </c>
      <c r="I554" t="s">
        <v>910</v>
      </c>
    </row>
    <row r="555" spans="1:9" ht="11.25" customHeight="1">
      <c r="A555" t="s">
        <v>2250</v>
      </c>
      <c r="B555" t="s">
        <v>16</v>
      </c>
      <c r="C555" t="s">
        <v>3113</v>
      </c>
      <c r="D555" t="s">
        <v>3114</v>
      </c>
      <c r="E555" t="s">
        <v>3115</v>
      </c>
      <c r="F555" t="s">
        <v>2303</v>
      </c>
      <c r="G555" t="s">
        <v>3116</v>
      </c>
      <c r="H555" t="s">
        <v>22</v>
      </c>
      <c r="I555" t="s">
        <v>910</v>
      </c>
    </row>
    <row r="556" spans="1:9" ht="11.25" customHeight="1">
      <c r="A556" t="s">
        <v>2250</v>
      </c>
      <c r="B556" t="s">
        <v>16</v>
      </c>
      <c r="C556" t="s">
        <v>2635</v>
      </c>
      <c r="D556" t="s">
        <v>2636</v>
      </c>
      <c r="E556" t="s">
        <v>2637</v>
      </c>
      <c r="F556" t="s">
        <v>2521</v>
      </c>
      <c r="G556" t="s">
        <v>22</v>
      </c>
      <c r="H556" t="s">
        <v>22</v>
      </c>
      <c r="I556" t="s">
        <v>910</v>
      </c>
    </row>
    <row r="557" spans="1:9" ht="11.25" customHeight="1">
      <c r="A557" t="s">
        <v>2250</v>
      </c>
      <c r="B557" t="s">
        <v>16</v>
      </c>
      <c r="C557" t="s">
        <v>3287</v>
      </c>
      <c r="D557" t="s">
        <v>46</v>
      </c>
      <c r="E557" t="s">
        <v>3288</v>
      </c>
      <c r="F557" t="s">
        <v>3056</v>
      </c>
      <c r="G557" t="s">
        <v>3289</v>
      </c>
      <c r="H557" t="s">
        <v>22</v>
      </c>
      <c r="I557" t="s">
        <v>910</v>
      </c>
    </row>
    <row r="558" spans="1:9" ht="11.25" customHeight="1">
      <c r="A558" t="s">
        <v>2250</v>
      </c>
      <c r="B558" t="s">
        <v>16</v>
      </c>
      <c r="C558" t="s">
        <v>2641</v>
      </c>
      <c r="D558" t="s">
        <v>2642</v>
      </c>
      <c r="E558" t="s">
        <v>2643</v>
      </c>
      <c r="F558" t="s">
        <v>2417</v>
      </c>
      <c r="G558" t="s">
        <v>22</v>
      </c>
      <c r="H558" t="s">
        <v>22</v>
      </c>
      <c r="I558" t="s">
        <v>910</v>
      </c>
    </row>
    <row r="559" spans="1:9" ht="11.25" customHeight="1">
      <c r="A559" t="s">
        <v>2250</v>
      </c>
      <c r="B559" t="s">
        <v>16</v>
      </c>
      <c r="C559" t="s">
        <v>2648</v>
      </c>
      <c r="D559" t="s">
        <v>2649</v>
      </c>
      <c r="E559" t="s">
        <v>2650</v>
      </c>
      <c r="F559" t="s">
        <v>2337</v>
      </c>
      <c r="G559" t="s">
        <v>22</v>
      </c>
      <c r="H559" t="s">
        <v>22</v>
      </c>
      <c r="I559" t="s">
        <v>910</v>
      </c>
    </row>
    <row r="560" spans="1:9" ht="11.25" customHeight="1">
      <c r="A560" t="s">
        <v>2250</v>
      </c>
      <c r="B560" t="s">
        <v>16</v>
      </c>
      <c r="C560" t="s">
        <v>3120</v>
      </c>
      <c r="D560" t="s">
        <v>3121</v>
      </c>
      <c r="E560" t="s">
        <v>3122</v>
      </c>
      <c r="F560" t="s">
        <v>2286</v>
      </c>
      <c r="G560" t="s">
        <v>22</v>
      </c>
      <c r="H560" t="s">
        <v>22</v>
      </c>
      <c r="I560" t="s">
        <v>910</v>
      </c>
    </row>
    <row r="561" spans="1:9" ht="11.25" customHeight="1">
      <c r="A561" t="s">
        <v>2250</v>
      </c>
      <c r="B561" t="s">
        <v>16</v>
      </c>
      <c r="C561" t="s">
        <v>3290</v>
      </c>
      <c r="D561" t="s">
        <v>3291</v>
      </c>
      <c r="E561" t="s">
        <v>3292</v>
      </c>
      <c r="F561" t="s">
        <v>2254</v>
      </c>
      <c r="G561" t="s">
        <v>22</v>
      </c>
      <c r="H561" t="s">
        <v>22</v>
      </c>
      <c r="I561" t="s">
        <v>910</v>
      </c>
    </row>
    <row r="562" spans="1:9" ht="11.25" customHeight="1">
      <c r="A562" t="s">
        <v>2250</v>
      </c>
      <c r="B562" t="s">
        <v>16</v>
      </c>
      <c r="C562" t="s">
        <v>2671</v>
      </c>
      <c r="D562" t="s">
        <v>2672</v>
      </c>
      <c r="E562" t="s">
        <v>2673</v>
      </c>
      <c r="F562" t="s">
        <v>2674</v>
      </c>
      <c r="G562" t="s">
        <v>22</v>
      </c>
      <c r="H562" t="s">
        <v>22</v>
      </c>
      <c r="I562" t="s">
        <v>910</v>
      </c>
    </row>
    <row r="563" spans="1:9" ht="11.25" customHeight="1">
      <c r="A563" t="s">
        <v>2250</v>
      </c>
      <c r="B563" t="s">
        <v>16</v>
      </c>
      <c r="C563" t="s">
        <v>3126</v>
      </c>
      <c r="D563" t="s">
        <v>3127</v>
      </c>
      <c r="E563" t="s">
        <v>3128</v>
      </c>
      <c r="F563" t="s">
        <v>2674</v>
      </c>
      <c r="G563" t="s">
        <v>22</v>
      </c>
      <c r="H563" t="s">
        <v>22</v>
      </c>
      <c r="I563" t="s">
        <v>910</v>
      </c>
    </row>
    <row r="564" spans="1:9" ht="11.25" customHeight="1">
      <c r="A564" t="s">
        <v>2250</v>
      </c>
      <c r="B564" t="s">
        <v>16</v>
      </c>
      <c r="C564" t="s">
        <v>2675</v>
      </c>
      <c r="D564" t="s">
        <v>2676</v>
      </c>
      <c r="E564" t="s">
        <v>2677</v>
      </c>
      <c r="F564" t="s">
        <v>2674</v>
      </c>
      <c r="G564" t="s">
        <v>22</v>
      </c>
      <c r="H564" t="s">
        <v>22</v>
      </c>
      <c r="I564" t="s">
        <v>910</v>
      </c>
    </row>
    <row r="565" spans="1:9" ht="11.25" customHeight="1">
      <c r="A565" t="s">
        <v>2250</v>
      </c>
      <c r="B565" t="s">
        <v>16</v>
      </c>
      <c r="C565" t="s">
        <v>2678</v>
      </c>
      <c r="D565" t="s">
        <v>2679</v>
      </c>
      <c r="E565" t="s">
        <v>2680</v>
      </c>
      <c r="F565" t="s">
        <v>2525</v>
      </c>
      <c r="G565" t="s">
        <v>22</v>
      </c>
      <c r="H565" t="s">
        <v>22</v>
      </c>
      <c r="I565" t="s">
        <v>910</v>
      </c>
    </row>
    <row r="566" spans="1:9" ht="11.25" customHeight="1">
      <c r="A566" t="s">
        <v>2250</v>
      </c>
      <c r="B566" t="s">
        <v>16</v>
      </c>
      <c r="C566" t="s">
        <v>3293</v>
      </c>
      <c r="D566" t="s">
        <v>3294</v>
      </c>
      <c r="E566" t="s">
        <v>3295</v>
      </c>
      <c r="F566" t="s">
        <v>2330</v>
      </c>
      <c r="G566" t="s">
        <v>22</v>
      </c>
      <c r="H566" t="s">
        <v>22</v>
      </c>
      <c r="I566" t="s">
        <v>910</v>
      </c>
    </row>
    <row r="567" spans="1:9" ht="11.25" customHeight="1">
      <c r="A567" t="s">
        <v>2250</v>
      </c>
      <c r="B567" t="s">
        <v>16</v>
      </c>
      <c r="C567" t="s">
        <v>3129</v>
      </c>
      <c r="D567" t="s">
        <v>3130</v>
      </c>
      <c r="E567" t="s">
        <v>3131</v>
      </c>
      <c r="F567" t="s">
        <v>2290</v>
      </c>
      <c r="G567" t="s">
        <v>3132</v>
      </c>
      <c r="H567" t="s">
        <v>22</v>
      </c>
      <c r="I567" t="s">
        <v>910</v>
      </c>
    </row>
    <row r="568" spans="1:9" ht="11.25" customHeight="1">
      <c r="A568" t="s">
        <v>2250</v>
      </c>
      <c r="B568" t="s">
        <v>16</v>
      </c>
      <c r="C568" t="s">
        <v>2681</v>
      </c>
      <c r="D568" t="s">
        <v>2682</v>
      </c>
      <c r="E568" t="s">
        <v>2683</v>
      </c>
      <c r="F568" t="s">
        <v>2330</v>
      </c>
      <c r="G568" t="s">
        <v>22</v>
      </c>
      <c r="H568" t="s">
        <v>22</v>
      </c>
      <c r="I568" t="s">
        <v>910</v>
      </c>
    </row>
    <row r="569" spans="1:9" ht="11.25" customHeight="1">
      <c r="A569" t="s">
        <v>2250</v>
      </c>
      <c r="B569" t="s">
        <v>16</v>
      </c>
      <c r="C569" t="s">
        <v>2684</v>
      </c>
      <c r="D569" t="s">
        <v>2685</v>
      </c>
      <c r="E569" t="s">
        <v>2686</v>
      </c>
      <c r="F569" t="s">
        <v>2488</v>
      </c>
      <c r="G569" t="s">
        <v>22</v>
      </c>
      <c r="H569" t="s">
        <v>22</v>
      </c>
      <c r="I569" t="s">
        <v>910</v>
      </c>
    </row>
    <row r="570" spans="1:9" ht="11.25" customHeight="1">
      <c r="A570" t="s">
        <v>2250</v>
      </c>
      <c r="B570" t="s">
        <v>16</v>
      </c>
      <c r="C570" t="s">
        <v>2687</v>
      </c>
      <c r="D570" t="s">
        <v>2688</v>
      </c>
      <c r="E570" t="s">
        <v>2689</v>
      </c>
      <c r="F570" t="s">
        <v>2690</v>
      </c>
      <c r="G570" t="s">
        <v>2691</v>
      </c>
      <c r="H570" t="s">
        <v>22</v>
      </c>
      <c r="I570" t="s">
        <v>910</v>
      </c>
    </row>
    <row r="571" spans="1:9" ht="11.25" customHeight="1">
      <c r="A571" t="s">
        <v>2250</v>
      </c>
      <c r="B571" t="s">
        <v>16</v>
      </c>
      <c r="C571" t="s">
        <v>3133</v>
      </c>
      <c r="D571" t="s">
        <v>3134</v>
      </c>
      <c r="E571" t="s">
        <v>3135</v>
      </c>
      <c r="F571" t="s">
        <v>2311</v>
      </c>
      <c r="G571" t="s">
        <v>22</v>
      </c>
      <c r="H571" t="s">
        <v>22</v>
      </c>
      <c r="I571" t="s">
        <v>910</v>
      </c>
    </row>
    <row r="572" spans="1:9" ht="11.25" customHeight="1">
      <c r="A572" t="s">
        <v>2250</v>
      </c>
      <c r="B572" t="s">
        <v>16</v>
      </c>
      <c r="C572" t="s">
        <v>2692</v>
      </c>
      <c r="D572" t="s">
        <v>2693</v>
      </c>
      <c r="E572" t="s">
        <v>2694</v>
      </c>
      <c r="F572" t="s">
        <v>2362</v>
      </c>
      <c r="G572" t="s">
        <v>22</v>
      </c>
      <c r="H572" t="s">
        <v>22</v>
      </c>
      <c r="I572" t="s">
        <v>910</v>
      </c>
    </row>
    <row r="573" spans="1:9" ht="11.25" customHeight="1">
      <c r="A573" t="s">
        <v>2250</v>
      </c>
      <c r="B573" t="s">
        <v>16</v>
      </c>
      <c r="C573" t="s">
        <v>2701</v>
      </c>
      <c r="D573" t="s">
        <v>2702</v>
      </c>
      <c r="E573" t="s">
        <v>2703</v>
      </c>
      <c r="F573" t="s">
        <v>2311</v>
      </c>
      <c r="G573" t="s">
        <v>22</v>
      </c>
      <c r="H573" t="s">
        <v>22</v>
      </c>
      <c r="I573" t="s">
        <v>910</v>
      </c>
    </row>
    <row r="574" spans="1:9" ht="11.25" customHeight="1">
      <c r="A574" t="s">
        <v>2250</v>
      </c>
      <c r="B574" t="s">
        <v>16</v>
      </c>
      <c r="C574" t="s">
        <v>2704</v>
      </c>
      <c r="D574" t="s">
        <v>2705</v>
      </c>
      <c r="E574" t="s">
        <v>2706</v>
      </c>
      <c r="F574" t="s">
        <v>2286</v>
      </c>
      <c r="G574" t="s">
        <v>22</v>
      </c>
      <c r="H574" t="s">
        <v>22</v>
      </c>
      <c r="I574" t="s">
        <v>910</v>
      </c>
    </row>
    <row r="575" spans="1:9" ht="11.25" customHeight="1">
      <c r="A575" t="s">
        <v>2250</v>
      </c>
      <c r="B575" t="s">
        <v>16</v>
      </c>
      <c r="C575" t="s">
        <v>2707</v>
      </c>
      <c r="D575" t="s">
        <v>2708</v>
      </c>
      <c r="E575" t="s">
        <v>2709</v>
      </c>
      <c r="F575" t="s">
        <v>2286</v>
      </c>
      <c r="G575" t="s">
        <v>22</v>
      </c>
      <c r="H575" t="s">
        <v>22</v>
      </c>
      <c r="I575" t="s">
        <v>910</v>
      </c>
    </row>
    <row r="576" spans="1:9" ht="11.25" customHeight="1">
      <c r="A576" t="s">
        <v>2250</v>
      </c>
      <c r="B576" t="s">
        <v>16</v>
      </c>
      <c r="C576" t="s">
        <v>2710</v>
      </c>
      <c r="D576" t="s">
        <v>2711</v>
      </c>
      <c r="E576" t="s">
        <v>2712</v>
      </c>
      <c r="F576" t="s">
        <v>2713</v>
      </c>
      <c r="G576" t="s">
        <v>22</v>
      </c>
      <c r="H576" t="s">
        <v>22</v>
      </c>
      <c r="I576" t="s">
        <v>910</v>
      </c>
    </row>
    <row r="577" spans="1:9" ht="11.25" customHeight="1">
      <c r="A577" t="s">
        <v>2250</v>
      </c>
      <c r="B577" t="s">
        <v>16</v>
      </c>
      <c r="C577" t="s">
        <v>2720</v>
      </c>
      <c r="D577" t="s">
        <v>2721</v>
      </c>
      <c r="E577" t="s">
        <v>2722</v>
      </c>
      <c r="F577" t="s">
        <v>2254</v>
      </c>
      <c r="G577" t="s">
        <v>22</v>
      </c>
      <c r="H577" t="s">
        <v>22</v>
      </c>
      <c r="I577" t="s">
        <v>910</v>
      </c>
    </row>
    <row r="578" spans="1:9" ht="11.25" customHeight="1">
      <c r="A578" t="s">
        <v>2250</v>
      </c>
      <c r="B578" t="s">
        <v>16</v>
      </c>
      <c r="C578" t="s">
        <v>3142</v>
      </c>
      <c r="D578" t="s">
        <v>3143</v>
      </c>
      <c r="E578" t="s">
        <v>3144</v>
      </c>
      <c r="F578" t="s">
        <v>2366</v>
      </c>
      <c r="G578" t="s">
        <v>3145</v>
      </c>
      <c r="H578" t="s">
        <v>22</v>
      </c>
      <c r="I578" t="s">
        <v>910</v>
      </c>
    </row>
    <row r="579" spans="1:9" ht="11.25" customHeight="1">
      <c r="A579" t="s">
        <v>2250</v>
      </c>
      <c r="B579" t="s">
        <v>16</v>
      </c>
      <c r="C579" t="s">
        <v>3296</v>
      </c>
      <c r="D579" t="s">
        <v>3297</v>
      </c>
      <c r="E579" t="s">
        <v>3252</v>
      </c>
      <c r="F579" t="s">
        <v>2521</v>
      </c>
      <c r="G579" t="s">
        <v>22</v>
      </c>
      <c r="H579" t="s">
        <v>22</v>
      </c>
      <c r="I579" t="s">
        <v>910</v>
      </c>
    </row>
    <row r="580" spans="1:9" ht="11.25" customHeight="1">
      <c r="A580" t="s">
        <v>2250</v>
      </c>
      <c r="B580" t="s">
        <v>16</v>
      </c>
      <c r="C580" t="s">
        <v>2726</v>
      </c>
      <c r="D580" t="s">
        <v>2727</v>
      </c>
      <c r="E580" t="s">
        <v>2728</v>
      </c>
      <c r="F580" t="s">
        <v>2254</v>
      </c>
      <c r="G580" t="s">
        <v>22</v>
      </c>
      <c r="H580" t="s">
        <v>22</v>
      </c>
      <c r="I580" t="s">
        <v>910</v>
      </c>
    </row>
    <row r="581" spans="1:9" ht="11.25" customHeight="1">
      <c r="A581" t="s">
        <v>2250</v>
      </c>
      <c r="B581" t="s">
        <v>16</v>
      </c>
      <c r="C581" t="s">
        <v>2729</v>
      </c>
      <c r="D581" t="s">
        <v>2730</v>
      </c>
      <c r="E581" t="s">
        <v>2731</v>
      </c>
      <c r="F581" t="s">
        <v>2330</v>
      </c>
      <c r="G581" t="s">
        <v>22</v>
      </c>
      <c r="H581" t="s">
        <v>22</v>
      </c>
      <c r="I581" t="s">
        <v>910</v>
      </c>
    </row>
    <row r="582" spans="1:9" ht="11.25" customHeight="1">
      <c r="A582" t="s">
        <v>2250</v>
      </c>
      <c r="B582" t="s">
        <v>16</v>
      </c>
      <c r="C582" t="s">
        <v>3146</v>
      </c>
      <c r="D582" t="s">
        <v>3147</v>
      </c>
      <c r="E582" t="s">
        <v>3148</v>
      </c>
      <c r="F582" t="s">
        <v>2521</v>
      </c>
      <c r="G582" t="s">
        <v>22</v>
      </c>
      <c r="H582" t="s">
        <v>22</v>
      </c>
      <c r="I582" t="s">
        <v>910</v>
      </c>
    </row>
    <row r="583" spans="1:9" ht="11.25" customHeight="1">
      <c r="A583" t="s">
        <v>2250</v>
      </c>
      <c r="B583" t="s">
        <v>16</v>
      </c>
      <c r="C583" t="s">
        <v>2739</v>
      </c>
      <c r="D583" t="s">
        <v>2740</v>
      </c>
      <c r="E583" t="s">
        <v>2741</v>
      </c>
      <c r="F583" t="s">
        <v>2417</v>
      </c>
      <c r="G583" t="s">
        <v>2742</v>
      </c>
      <c r="H583" t="s">
        <v>22</v>
      </c>
      <c r="I583" t="s">
        <v>910</v>
      </c>
    </row>
    <row r="584" spans="1:9" ht="11.25" customHeight="1">
      <c r="A584" t="s">
        <v>2250</v>
      </c>
      <c r="B584" t="s">
        <v>16</v>
      </c>
      <c r="C584" t="s">
        <v>3152</v>
      </c>
      <c r="D584" t="s">
        <v>3153</v>
      </c>
      <c r="E584" t="s">
        <v>3154</v>
      </c>
      <c r="F584" t="s">
        <v>2330</v>
      </c>
      <c r="G584" t="s">
        <v>22</v>
      </c>
      <c r="H584" t="s">
        <v>22</v>
      </c>
      <c r="I584" t="s">
        <v>910</v>
      </c>
    </row>
    <row r="585" spans="1:9" ht="11.25" customHeight="1">
      <c r="A585" t="s">
        <v>2250</v>
      </c>
      <c r="B585" t="s">
        <v>16</v>
      </c>
      <c r="C585" t="s">
        <v>3298</v>
      </c>
      <c r="D585" t="s">
        <v>3299</v>
      </c>
      <c r="E585" t="s">
        <v>3300</v>
      </c>
      <c r="F585" t="s">
        <v>51</v>
      </c>
      <c r="G585" t="s">
        <v>22</v>
      </c>
      <c r="H585" t="s">
        <v>22</v>
      </c>
      <c r="I585" t="s">
        <v>910</v>
      </c>
    </row>
    <row r="586" spans="1:9" ht="11.25" customHeight="1">
      <c r="A586" t="s">
        <v>2250</v>
      </c>
      <c r="B586" t="s">
        <v>16</v>
      </c>
      <c r="C586" t="s">
        <v>2756</v>
      </c>
      <c r="D586" t="s">
        <v>2757</v>
      </c>
      <c r="E586" t="s">
        <v>2758</v>
      </c>
      <c r="F586" t="s">
        <v>2759</v>
      </c>
      <c r="G586" t="s">
        <v>22</v>
      </c>
      <c r="H586" t="s">
        <v>22</v>
      </c>
      <c r="I586" t="s">
        <v>910</v>
      </c>
    </row>
    <row r="587" spans="1:9" ht="11.25" customHeight="1">
      <c r="A587" t="s">
        <v>2250</v>
      </c>
      <c r="B587" t="s">
        <v>16</v>
      </c>
      <c r="C587" t="s">
        <v>2763</v>
      </c>
      <c r="D587" t="s">
        <v>2764</v>
      </c>
      <c r="E587" t="s">
        <v>2765</v>
      </c>
      <c r="F587" t="s">
        <v>2337</v>
      </c>
      <c r="G587" t="s">
        <v>22</v>
      </c>
      <c r="H587" t="s">
        <v>22</v>
      </c>
      <c r="I587" t="s">
        <v>910</v>
      </c>
    </row>
    <row r="588" spans="1:9" ht="11.25" customHeight="1">
      <c r="A588" t="s">
        <v>2250</v>
      </c>
      <c r="B588" t="s">
        <v>16</v>
      </c>
      <c r="C588" t="s">
        <v>3161</v>
      </c>
      <c r="D588" t="s">
        <v>3162</v>
      </c>
      <c r="E588" t="s">
        <v>3163</v>
      </c>
      <c r="F588" t="s">
        <v>2303</v>
      </c>
      <c r="G588" t="s">
        <v>22</v>
      </c>
      <c r="H588" t="s">
        <v>22</v>
      </c>
      <c r="I588" t="s">
        <v>910</v>
      </c>
    </row>
    <row r="589" spans="1:9" ht="11.25" customHeight="1">
      <c r="A589" t="s">
        <v>2250</v>
      </c>
      <c r="B589" t="s">
        <v>16</v>
      </c>
      <c r="C589" t="s">
        <v>3167</v>
      </c>
      <c r="D589" t="s">
        <v>3168</v>
      </c>
      <c r="E589" t="s">
        <v>3169</v>
      </c>
      <c r="F589" t="s">
        <v>2417</v>
      </c>
      <c r="G589" t="s">
        <v>22</v>
      </c>
      <c r="H589" t="s">
        <v>22</v>
      </c>
      <c r="I589" t="s">
        <v>910</v>
      </c>
    </row>
    <row r="590" spans="1:9" ht="11.25" customHeight="1">
      <c r="A590" t="s">
        <v>2250</v>
      </c>
      <c r="B590" t="s">
        <v>16</v>
      </c>
      <c r="C590" t="s">
        <v>3173</v>
      </c>
      <c r="D590" t="s">
        <v>3174</v>
      </c>
      <c r="E590" t="s">
        <v>3175</v>
      </c>
      <c r="F590" t="s">
        <v>2674</v>
      </c>
      <c r="G590" t="s">
        <v>22</v>
      </c>
      <c r="H590" t="s">
        <v>22</v>
      </c>
      <c r="I590" t="s">
        <v>910</v>
      </c>
    </row>
    <row r="591" spans="1:9" ht="11.25" customHeight="1">
      <c r="A591" t="s">
        <v>2250</v>
      </c>
      <c r="B591" t="s">
        <v>16</v>
      </c>
      <c r="C591" t="s">
        <v>3185</v>
      </c>
      <c r="D591" t="s">
        <v>3186</v>
      </c>
      <c r="E591" t="s">
        <v>3187</v>
      </c>
      <c r="F591" t="s">
        <v>2258</v>
      </c>
      <c r="G591" t="s">
        <v>22</v>
      </c>
      <c r="H591" t="s">
        <v>22</v>
      </c>
      <c r="I591" t="s">
        <v>910</v>
      </c>
    </row>
    <row r="592" spans="1:9" ht="11.25" customHeight="1">
      <c r="A592" t="s">
        <v>2250</v>
      </c>
      <c r="B592" t="s">
        <v>16</v>
      </c>
      <c r="C592" t="s">
        <v>3194</v>
      </c>
      <c r="D592" t="s">
        <v>3195</v>
      </c>
      <c r="E592" t="s">
        <v>3196</v>
      </c>
      <c r="F592" t="s">
        <v>2307</v>
      </c>
      <c r="G592" t="s">
        <v>22</v>
      </c>
      <c r="H592" t="s">
        <v>22</v>
      </c>
      <c r="I592" t="s">
        <v>910</v>
      </c>
    </row>
    <row r="593" spans="1:9" ht="11.25" customHeight="1">
      <c r="A593" t="s">
        <v>2250</v>
      </c>
      <c r="B593" t="s">
        <v>16</v>
      </c>
      <c r="C593" t="s">
        <v>3200</v>
      </c>
      <c r="D593" t="s">
        <v>3201</v>
      </c>
      <c r="E593" t="s">
        <v>3202</v>
      </c>
      <c r="F593" t="s">
        <v>2543</v>
      </c>
      <c r="G593" t="s">
        <v>22</v>
      </c>
      <c r="H593" t="s">
        <v>22</v>
      </c>
      <c r="I593" t="s">
        <v>910</v>
      </c>
    </row>
    <row r="594" spans="1:9" ht="11.25" customHeight="1">
      <c r="A594" t="s">
        <v>2250</v>
      </c>
      <c r="B594" t="s">
        <v>16</v>
      </c>
      <c r="C594" t="s">
        <v>3206</v>
      </c>
      <c r="D594" t="s">
        <v>3207</v>
      </c>
      <c r="E594" t="s">
        <v>3208</v>
      </c>
      <c r="F594" t="s">
        <v>2535</v>
      </c>
      <c r="G594" t="s">
        <v>22</v>
      </c>
      <c r="H594" t="s">
        <v>22</v>
      </c>
      <c r="I594" t="s">
        <v>910</v>
      </c>
    </row>
    <row r="595" spans="1:9" ht="11.25" customHeight="1">
      <c r="A595" t="s">
        <v>2250</v>
      </c>
      <c r="B595" t="s">
        <v>16</v>
      </c>
      <c r="C595" t="s">
        <v>3209</v>
      </c>
      <c r="D595" t="s">
        <v>3210</v>
      </c>
      <c r="E595" t="s">
        <v>3211</v>
      </c>
      <c r="F595" t="s">
        <v>2326</v>
      </c>
      <c r="G595" t="s">
        <v>22</v>
      </c>
      <c r="H595" t="s">
        <v>22</v>
      </c>
      <c r="I595" t="s">
        <v>910</v>
      </c>
    </row>
    <row r="596" spans="1:9" ht="11.25" customHeight="1">
      <c r="A596" t="s">
        <v>2250</v>
      </c>
      <c r="B596" t="s">
        <v>16</v>
      </c>
      <c r="C596" t="s">
        <v>3216</v>
      </c>
      <c r="D596" t="s">
        <v>3217</v>
      </c>
      <c r="E596" t="s">
        <v>3218</v>
      </c>
      <c r="F596" t="s">
        <v>2647</v>
      </c>
      <c r="G596" t="s">
        <v>3219</v>
      </c>
      <c r="H596" t="s">
        <v>22</v>
      </c>
      <c r="I596" t="s">
        <v>910</v>
      </c>
    </row>
    <row r="597" spans="1:9" ht="11.25" customHeight="1">
      <c r="A597" t="s">
        <v>2250</v>
      </c>
      <c r="B597" t="s">
        <v>16</v>
      </c>
      <c r="C597" t="s">
        <v>3223</v>
      </c>
      <c r="D597" t="s">
        <v>3224</v>
      </c>
      <c r="E597" t="s">
        <v>3225</v>
      </c>
      <c r="F597" t="s">
        <v>2602</v>
      </c>
      <c r="G597" t="s">
        <v>3226</v>
      </c>
      <c r="H597" t="s">
        <v>22</v>
      </c>
      <c r="I597" t="s">
        <v>910</v>
      </c>
    </row>
    <row r="598" spans="1:9" ht="11.25" customHeight="1">
      <c r="A598" t="s">
        <v>2250</v>
      </c>
      <c r="B598" t="s">
        <v>16</v>
      </c>
      <c r="C598" t="s">
        <v>3227</v>
      </c>
      <c r="D598" t="s">
        <v>3228</v>
      </c>
      <c r="E598" t="s">
        <v>3229</v>
      </c>
      <c r="F598" t="s">
        <v>3230</v>
      </c>
      <c r="G598" t="s">
        <v>22</v>
      </c>
      <c r="H598" t="s">
        <v>22</v>
      </c>
      <c r="I598" t="s">
        <v>910</v>
      </c>
    </row>
    <row r="599" spans="1:9" ht="11.25" customHeight="1">
      <c r="A599" t="s">
        <v>2250</v>
      </c>
      <c r="B599" t="s">
        <v>16</v>
      </c>
      <c r="C599" t="s">
        <v>2843</v>
      </c>
      <c r="D599" t="s">
        <v>2844</v>
      </c>
      <c r="E599" t="s">
        <v>2845</v>
      </c>
      <c r="F599" t="s">
        <v>2286</v>
      </c>
      <c r="G599" t="s">
        <v>22</v>
      </c>
      <c r="H599" t="s">
        <v>22</v>
      </c>
      <c r="I599" t="s">
        <v>910</v>
      </c>
    </row>
    <row r="600" spans="1:9" ht="11.25" customHeight="1">
      <c r="A600" t="s">
        <v>2250</v>
      </c>
      <c r="B600" t="s">
        <v>16</v>
      </c>
      <c r="C600" t="s">
        <v>2846</v>
      </c>
      <c r="D600" t="s">
        <v>2847</v>
      </c>
      <c r="E600" t="s">
        <v>2848</v>
      </c>
      <c r="F600" t="s">
        <v>2254</v>
      </c>
      <c r="G600" t="s">
        <v>22</v>
      </c>
      <c r="H600" t="s">
        <v>22</v>
      </c>
      <c r="I600" t="s">
        <v>910</v>
      </c>
    </row>
    <row r="601" spans="1:9" ht="11.25" customHeight="1">
      <c r="A601" t="s">
        <v>2250</v>
      </c>
      <c r="B601" t="s">
        <v>16</v>
      </c>
      <c r="C601" t="s">
        <v>3234</v>
      </c>
      <c r="D601" t="s">
        <v>3235</v>
      </c>
      <c r="E601" t="s">
        <v>3236</v>
      </c>
      <c r="F601" t="s">
        <v>2326</v>
      </c>
      <c r="G601" t="s">
        <v>22</v>
      </c>
      <c r="H601" t="s">
        <v>22</v>
      </c>
      <c r="I601" t="s">
        <v>910</v>
      </c>
    </row>
    <row r="602" spans="1:9" ht="11.25" customHeight="1">
      <c r="A602" t="s">
        <v>2250</v>
      </c>
      <c r="B602" t="s">
        <v>16</v>
      </c>
      <c r="C602" t="s">
        <v>2852</v>
      </c>
      <c r="D602" t="s">
        <v>2853</v>
      </c>
      <c r="E602" t="s">
        <v>2854</v>
      </c>
      <c r="F602" t="s">
        <v>2326</v>
      </c>
      <c r="G602" t="s">
        <v>22</v>
      </c>
      <c r="H602" t="s">
        <v>22</v>
      </c>
      <c r="I602" t="s">
        <v>910</v>
      </c>
    </row>
    <row r="603" spans="1:9" ht="11.25" customHeight="1">
      <c r="A603" t="s">
        <v>2250</v>
      </c>
      <c r="B603" t="s">
        <v>16</v>
      </c>
      <c r="C603" t="s">
        <v>2855</v>
      </c>
      <c r="D603" t="s">
        <v>2856</v>
      </c>
      <c r="E603" t="s">
        <v>2857</v>
      </c>
      <c r="F603" t="s">
        <v>2254</v>
      </c>
      <c r="G603" t="s">
        <v>22</v>
      </c>
      <c r="H603" t="s">
        <v>22</v>
      </c>
      <c r="I603" t="s">
        <v>910</v>
      </c>
    </row>
    <row r="604" spans="1:9" ht="11.25" customHeight="1">
      <c r="A604" t="s">
        <v>2250</v>
      </c>
      <c r="B604" t="s">
        <v>16</v>
      </c>
      <c r="C604" t="s">
        <v>2864</v>
      </c>
      <c r="D604" t="s">
        <v>2865</v>
      </c>
      <c r="E604" t="s">
        <v>2866</v>
      </c>
      <c r="F604" t="s">
        <v>2362</v>
      </c>
      <c r="G604" t="s">
        <v>22</v>
      </c>
      <c r="H604" t="s">
        <v>22</v>
      </c>
      <c r="I604" t="s">
        <v>910</v>
      </c>
    </row>
    <row r="605" spans="1:9" ht="11.25" customHeight="1">
      <c r="A605" t="s">
        <v>2250</v>
      </c>
      <c r="B605" t="s">
        <v>16</v>
      </c>
      <c r="C605" t="s">
        <v>2879</v>
      </c>
      <c r="D605" t="s">
        <v>2880</v>
      </c>
      <c r="E605" t="s">
        <v>2881</v>
      </c>
      <c r="F605" t="s">
        <v>2815</v>
      </c>
      <c r="G605" t="s">
        <v>22</v>
      </c>
      <c r="H605" t="s">
        <v>22</v>
      </c>
      <c r="I605" t="s">
        <v>910</v>
      </c>
    </row>
    <row r="606" spans="1:9" ht="11.25" customHeight="1">
      <c r="A606" t="s">
        <v>2250</v>
      </c>
      <c r="B606" t="s">
        <v>16</v>
      </c>
      <c r="C606" t="s">
        <v>3243</v>
      </c>
      <c r="D606" t="s">
        <v>3244</v>
      </c>
      <c r="E606" t="s">
        <v>3245</v>
      </c>
      <c r="F606" t="s">
        <v>2521</v>
      </c>
      <c r="G606" t="s">
        <v>22</v>
      </c>
      <c r="H606" t="s">
        <v>22</v>
      </c>
      <c r="I606" t="s">
        <v>910</v>
      </c>
    </row>
    <row r="607" spans="1:9" ht="11.25" customHeight="1">
      <c r="A607" t="s">
        <v>2250</v>
      </c>
      <c r="B607" t="s">
        <v>16</v>
      </c>
      <c r="C607" t="s">
        <v>2895</v>
      </c>
      <c r="D607" t="s">
        <v>2893</v>
      </c>
      <c r="E607" t="s">
        <v>2894</v>
      </c>
      <c r="F607" t="s">
        <v>2269</v>
      </c>
      <c r="G607" t="s">
        <v>22</v>
      </c>
      <c r="H607" t="s">
        <v>22</v>
      </c>
      <c r="I607" t="s">
        <v>910</v>
      </c>
    </row>
    <row r="608" spans="1:9" ht="11.25" customHeight="1">
      <c r="A608" t="s">
        <v>2250</v>
      </c>
      <c r="B608" t="s">
        <v>16</v>
      </c>
      <c r="C608" t="s">
        <v>2896</v>
      </c>
      <c r="D608" t="s">
        <v>2897</v>
      </c>
      <c r="E608" t="s">
        <v>2898</v>
      </c>
      <c r="F608" t="s">
        <v>2269</v>
      </c>
      <c r="G608" t="s">
        <v>22</v>
      </c>
      <c r="H608" t="s">
        <v>22</v>
      </c>
      <c r="I608" t="s">
        <v>910</v>
      </c>
    </row>
    <row r="609" spans="1:9" ht="11.25" customHeight="1">
      <c r="A609" t="s">
        <v>2250</v>
      </c>
      <c r="B609" t="s">
        <v>16</v>
      </c>
      <c r="C609" t="s">
        <v>3246</v>
      </c>
      <c r="D609" t="s">
        <v>3247</v>
      </c>
      <c r="E609" t="s">
        <v>3248</v>
      </c>
      <c r="F609" t="s">
        <v>3249</v>
      </c>
      <c r="G609" t="s">
        <v>22</v>
      </c>
      <c r="H609" t="s">
        <v>22</v>
      </c>
      <c r="I609" t="s">
        <v>910</v>
      </c>
    </row>
    <row r="610" spans="1:9" ht="11.25" customHeight="1">
      <c r="A610" t="s">
        <v>2250</v>
      </c>
      <c r="B610" t="s">
        <v>16</v>
      </c>
      <c r="C610" t="s">
        <v>3250</v>
      </c>
      <c r="D610" t="s">
        <v>3251</v>
      </c>
      <c r="E610" t="s">
        <v>3252</v>
      </c>
      <c r="F610" t="s">
        <v>3253</v>
      </c>
      <c r="G610" t="s">
        <v>3254</v>
      </c>
      <c r="H610" t="s">
        <v>22</v>
      </c>
      <c r="I610" t="s">
        <v>910</v>
      </c>
    </row>
    <row r="611" spans="1:9" ht="11.25" customHeight="1">
      <c r="A611" t="s">
        <v>2250</v>
      </c>
      <c r="B611" t="s">
        <v>16</v>
      </c>
      <c r="C611" t="s">
        <v>3258</v>
      </c>
      <c r="D611" t="s">
        <v>3259</v>
      </c>
      <c r="E611" t="s">
        <v>3260</v>
      </c>
      <c r="F611" t="s">
        <v>2674</v>
      </c>
      <c r="G611" t="s">
        <v>22</v>
      </c>
      <c r="H611" t="s">
        <v>22</v>
      </c>
      <c r="I611" t="s">
        <v>910</v>
      </c>
    </row>
    <row r="612" spans="1:9" ht="11.25" customHeight="1">
      <c r="A612" t="s">
        <v>2250</v>
      </c>
      <c r="B612" t="s">
        <v>16</v>
      </c>
      <c r="C612" t="s">
        <v>3264</v>
      </c>
      <c r="D612" t="s">
        <v>3265</v>
      </c>
      <c r="E612" t="s">
        <v>3266</v>
      </c>
      <c r="F612" t="s">
        <v>2492</v>
      </c>
      <c r="G612" t="s">
        <v>22</v>
      </c>
      <c r="H612" t="s">
        <v>22</v>
      </c>
      <c r="I612" t="s">
        <v>910</v>
      </c>
    </row>
    <row r="613" spans="1:9" ht="11.25" customHeight="1">
      <c r="A613" t="s">
        <v>2250</v>
      </c>
      <c r="B613" t="s">
        <v>16</v>
      </c>
      <c r="C613" t="s">
        <v>2905</v>
      </c>
      <c r="D613" t="s">
        <v>2906</v>
      </c>
      <c r="E613" t="s">
        <v>2907</v>
      </c>
      <c r="F613" t="s">
        <v>2908</v>
      </c>
      <c r="G613" t="s">
        <v>22</v>
      </c>
      <c r="H613" t="s">
        <v>22</v>
      </c>
      <c r="I613" t="s">
        <v>910</v>
      </c>
    </row>
    <row r="614" spans="1:9" ht="11.25" customHeight="1">
      <c r="A614" t="s">
        <v>2250</v>
      </c>
      <c r="B614" t="s">
        <v>16</v>
      </c>
      <c r="C614" t="s">
        <v>2918</v>
      </c>
      <c r="D614" t="s">
        <v>2919</v>
      </c>
      <c r="E614" t="s">
        <v>2920</v>
      </c>
      <c r="F614" t="s">
        <v>2921</v>
      </c>
      <c r="G614" t="s">
        <v>22</v>
      </c>
      <c r="H614" t="s">
        <v>22</v>
      </c>
      <c r="I614" t="s">
        <v>910</v>
      </c>
    </row>
    <row r="615" spans="1:9" ht="11.25" customHeight="1">
      <c r="A615" t="s">
        <v>2250</v>
      </c>
      <c r="B615" t="s">
        <v>16</v>
      </c>
      <c r="C615" t="s">
        <v>2925</v>
      </c>
      <c r="D615" t="s">
        <v>2926</v>
      </c>
      <c r="E615" t="s">
        <v>2927</v>
      </c>
      <c r="F615" t="s">
        <v>2318</v>
      </c>
      <c r="G615" t="s">
        <v>22</v>
      </c>
      <c r="H615" t="s">
        <v>22</v>
      </c>
      <c r="I615" t="s">
        <v>910</v>
      </c>
    </row>
    <row r="616" spans="1:9" ht="11.25" customHeight="1">
      <c r="A616" t="s">
        <v>2250</v>
      </c>
      <c r="B616" t="s">
        <v>16</v>
      </c>
      <c r="C616" t="s">
        <v>3267</v>
      </c>
      <c r="D616" t="s">
        <v>3268</v>
      </c>
      <c r="E616" t="s">
        <v>3039</v>
      </c>
      <c r="F616" t="s">
        <v>3269</v>
      </c>
      <c r="G616" t="s">
        <v>22</v>
      </c>
      <c r="H616" t="s">
        <v>22</v>
      </c>
      <c r="I616" t="s">
        <v>910</v>
      </c>
    </row>
    <row r="617" spans="1:9" ht="11.25" customHeight="1">
      <c r="A617" t="s">
        <v>2250</v>
      </c>
      <c r="B617" t="s">
        <v>16</v>
      </c>
      <c r="C617" t="s">
        <v>2940</v>
      </c>
      <c r="D617" t="s">
        <v>2941</v>
      </c>
      <c r="E617" t="s">
        <v>2920</v>
      </c>
      <c r="F617" t="s">
        <v>2942</v>
      </c>
      <c r="G617" t="s">
        <v>22</v>
      </c>
      <c r="H617" t="s">
        <v>22</v>
      </c>
      <c r="I617" t="s">
        <v>910</v>
      </c>
    </row>
    <row r="618" spans="1:9" ht="11.25" customHeight="1">
      <c r="A618" t="s">
        <v>2250</v>
      </c>
      <c r="B618" t="s">
        <v>16</v>
      </c>
      <c r="C618" t="s">
        <v>2943</v>
      </c>
      <c r="D618" t="s">
        <v>2944</v>
      </c>
      <c r="E618" t="s">
        <v>2945</v>
      </c>
      <c r="F618" t="s">
        <v>2946</v>
      </c>
      <c r="G618" t="s">
        <v>22</v>
      </c>
      <c r="H618" t="s">
        <v>22</v>
      </c>
      <c r="I618" t="s">
        <v>910</v>
      </c>
    </row>
    <row r="619" spans="1:9" ht="11.25" customHeight="1">
      <c r="A619" t="s">
        <v>2250</v>
      </c>
      <c r="B619" t="s">
        <v>16</v>
      </c>
      <c r="C619" t="s">
        <v>3301</v>
      </c>
      <c r="D619" t="s">
        <v>3302</v>
      </c>
      <c r="E619" t="s">
        <v>3303</v>
      </c>
      <c r="F619" t="s">
        <v>2326</v>
      </c>
      <c r="G619" t="s">
        <v>22</v>
      </c>
      <c r="H619" t="s">
        <v>22</v>
      </c>
      <c r="I619" t="s">
        <v>910</v>
      </c>
    </row>
    <row r="620" spans="1:9" ht="11.25" customHeight="1">
      <c r="A620" t="s">
        <v>2250</v>
      </c>
      <c r="B620" t="s">
        <v>16</v>
      </c>
      <c r="C620" t="s">
        <v>3304</v>
      </c>
      <c r="D620" t="s">
        <v>3305</v>
      </c>
      <c r="E620" t="s">
        <v>3306</v>
      </c>
      <c r="F620" t="s">
        <v>2808</v>
      </c>
      <c r="G620" t="s">
        <v>22</v>
      </c>
      <c r="H620" t="s">
        <v>22</v>
      </c>
      <c r="I620" t="s">
        <v>1623</v>
      </c>
    </row>
    <row r="621" spans="1:9" ht="11.25" customHeight="1">
      <c r="A621" t="s">
        <v>2250</v>
      </c>
      <c r="B621" t="s">
        <v>16</v>
      </c>
      <c r="C621" t="s">
        <v>2378</v>
      </c>
      <c r="D621" t="s">
        <v>2379</v>
      </c>
      <c r="E621" t="s">
        <v>2380</v>
      </c>
      <c r="F621" t="s">
        <v>2381</v>
      </c>
      <c r="G621" t="s">
        <v>22</v>
      </c>
      <c r="H621" t="s">
        <v>22</v>
      </c>
      <c r="I621" t="s">
        <v>1623</v>
      </c>
    </row>
    <row r="622" spans="1:9" ht="11.25" customHeight="1">
      <c r="A622" t="s">
        <v>2250</v>
      </c>
      <c r="B622" t="s">
        <v>16</v>
      </c>
      <c r="C622" t="s">
        <v>2385</v>
      </c>
      <c r="D622" t="s">
        <v>2386</v>
      </c>
      <c r="E622" t="s">
        <v>2387</v>
      </c>
      <c r="F622" t="s">
        <v>2388</v>
      </c>
      <c r="G622" t="s">
        <v>22</v>
      </c>
      <c r="H622" t="s">
        <v>22</v>
      </c>
      <c r="I622" t="s">
        <v>1623</v>
      </c>
    </row>
    <row r="623" spans="1:9" ht="11.25" customHeight="1">
      <c r="A623" t="s">
        <v>2250</v>
      </c>
      <c r="B623" t="s">
        <v>16</v>
      </c>
      <c r="C623" t="s">
        <v>2389</v>
      </c>
      <c r="D623" t="s">
        <v>2390</v>
      </c>
      <c r="E623" t="s">
        <v>2391</v>
      </c>
      <c r="F623" t="s">
        <v>2370</v>
      </c>
      <c r="G623" t="s">
        <v>22</v>
      </c>
      <c r="H623" t="s">
        <v>22</v>
      </c>
      <c r="I623" t="s">
        <v>1623</v>
      </c>
    </row>
    <row r="624" spans="1:9" ht="11.25" customHeight="1">
      <c r="A624" t="s">
        <v>2250</v>
      </c>
      <c r="B624" t="s">
        <v>16</v>
      </c>
      <c r="C624" t="s">
        <v>2418</v>
      </c>
      <c r="D624" t="s">
        <v>2419</v>
      </c>
      <c r="E624" t="s">
        <v>2420</v>
      </c>
      <c r="F624" t="s">
        <v>2388</v>
      </c>
      <c r="G624" t="s">
        <v>22</v>
      </c>
      <c r="H624" t="s">
        <v>22</v>
      </c>
      <c r="I624" t="s">
        <v>1623</v>
      </c>
    </row>
    <row r="625" spans="1:9" ht="11.25" customHeight="1">
      <c r="A625" t="s">
        <v>2250</v>
      </c>
      <c r="B625" t="s">
        <v>16</v>
      </c>
      <c r="C625" t="s">
        <v>3307</v>
      </c>
      <c r="D625" t="s">
        <v>3308</v>
      </c>
      <c r="E625" t="s">
        <v>3309</v>
      </c>
      <c r="F625" t="s">
        <v>2258</v>
      </c>
      <c r="G625" t="s">
        <v>22</v>
      </c>
      <c r="H625" t="s">
        <v>22</v>
      </c>
      <c r="I625" t="s">
        <v>1623</v>
      </c>
    </row>
    <row r="626" spans="1:9" ht="11.25" customHeight="1">
      <c r="A626" t="s">
        <v>2250</v>
      </c>
      <c r="B626" t="s">
        <v>16</v>
      </c>
      <c r="C626" t="s">
        <v>22</v>
      </c>
      <c r="D626" t="s">
        <v>2441</v>
      </c>
      <c r="E626" t="s">
        <v>2442</v>
      </c>
      <c r="F626" t="s">
        <v>2254</v>
      </c>
      <c r="G626" t="s">
        <v>22</v>
      </c>
      <c r="H626" t="s">
        <v>22</v>
      </c>
      <c r="I626" t="s">
        <v>1623</v>
      </c>
    </row>
    <row r="627" spans="1:9" ht="11.25" customHeight="1">
      <c r="A627" t="s">
        <v>2250</v>
      </c>
      <c r="B627" t="s">
        <v>16</v>
      </c>
      <c r="C627" t="s">
        <v>3310</v>
      </c>
      <c r="D627" t="s">
        <v>3311</v>
      </c>
      <c r="E627" t="s">
        <v>3312</v>
      </c>
      <c r="F627" t="s">
        <v>579</v>
      </c>
      <c r="G627" t="s">
        <v>22</v>
      </c>
      <c r="H627" t="s">
        <v>22</v>
      </c>
      <c r="I627" t="s">
        <v>1623</v>
      </c>
    </row>
    <row r="628" spans="1:9" ht="11.25" customHeight="1">
      <c r="A628" t="s">
        <v>2250</v>
      </c>
      <c r="B628" t="s">
        <v>16</v>
      </c>
      <c r="C628" t="s">
        <v>3313</v>
      </c>
      <c r="D628" t="s">
        <v>3314</v>
      </c>
      <c r="E628" t="s">
        <v>3315</v>
      </c>
      <c r="F628" t="s">
        <v>579</v>
      </c>
      <c r="G628" t="s">
        <v>22</v>
      </c>
      <c r="H628" t="s">
        <v>22</v>
      </c>
      <c r="I628" t="s">
        <v>1623</v>
      </c>
    </row>
    <row r="629" spans="1:9" ht="11.25" customHeight="1">
      <c r="A629" t="s">
        <v>2250</v>
      </c>
      <c r="B629" t="s">
        <v>16</v>
      </c>
      <c r="C629" t="s">
        <v>3316</v>
      </c>
      <c r="D629" t="s">
        <v>3317</v>
      </c>
      <c r="E629" t="s">
        <v>3318</v>
      </c>
      <c r="F629" t="s">
        <v>579</v>
      </c>
      <c r="G629" t="s">
        <v>22</v>
      </c>
      <c r="H629" t="s">
        <v>22</v>
      </c>
      <c r="I629" t="s">
        <v>1623</v>
      </c>
    </row>
    <row r="630" spans="1:9" ht="11.25" customHeight="1">
      <c r="A630" t="s">
        <v>2250</v>
      </c>
      <c r="B630" t="s">
        <v>16</v>
      </c>
      <c r="C630" t="s">
        <v>3319</v>
      </c>
      <c r="D630" t="s">
        <v>3320</v>
      </c>
      <c r="E630" t="s">
        <v>3321</v>
      </c>
      <c r="F630" t="s">
        <v>2258</v>
      </c>
      <c r="G630" t="s">
        <v>22</v>
      </c>
      <c r="H630" t="s">
        <v>22</v>
      </c>
      <c r="I630" t="s">
        <v>1623</v>
      </c>
    </row>
    <row r="631" spans="1:9" ht="11.25" customHeight="1">
      <c r="A631" t="s">
        <v>2250</v>
      </c>
      <c r="B631" t="s">
        <v>16</v>
      </c>
      <c r="C631" t="s">
        <v>2500</v>
      </c>
      <c r="D631" t="s">
        <v>2501</v>
      </c>
      <c r="E631" t="s">
        <v>2502</v>
      </c>
      <c r="F631" t="s">
        <v>2503</v>
      </c>
      <c r="G631" t="s">
        <v>22</v>
      </c>
      <c r="H631" t="s">
        <v>22</v>
      </c>
      <c r="I631" t="s">
        <v>1623</v>
      </c>
    </row>
    <row r="632" spans="1:9" ht="11.25" customHeight="1">
      <c r="A632" t="s">
        <v>2250</v>
      </c>
      <c r="B632" t="s">
        <v>16</v>
      </c>
      <c r="C632" t="s">
        <v>3005</v>
      </c>
      <c r="D632" t="s">
        <v>3006</v>
      </c>
      <c r="E632" t="s">
        <v>3007</v>
      </c>
      <c r="F632" t="s">
        <v>2370</v>
      </c>
      <c r="G632" t="s">
        <v>22</v>
      </c>
      <c r="H632" t="s">
        <v>22</v>
      </c>
      <c r="I632" t="s">
        <v>1623</v>
      </c>
    </row>
    <row r="633" spans="1:9" ht="11.25" customHeight="1">
      <c r="A633" t="s">
        <v>2250</v>
      </c>
      <c r="B633" t="s">
        <v>16</v>
      </c>
      <c r="C633" t="s">
        <v>3276</v>
      </c>
      <c r="D633" t="s">
        <v>3277</v>
      </c>
      <c r="E633" t="s">
        <v>3278</v>
      </c>
      <c r="F633" t="s">
        <v>2318</v>
      </c>
      <c r="G633" t="s">
        <v>3279</v>
      </c>
      <c r="H633" t="s">
        <v>22</v>
      </c>
      <c r="I633" t="s">
        <v>1623</v>
      </c>
    </row>
    <row r="634" spans="1:9" ht="11.25" customHeight="1">
      <c r="A634" t="s">
        <v>2250</v>
      </c>
      <c r="B634" t="s">
        <v>16</v>
      </c>
      <c r="C634" t="s">
        <v>3012</v>
      </c>
      <c r="D634" t="s">
        <v>3013</v>
      </c>
      <c r="E634" t="s">
        <v>3014</v>
      </c>
      <c r="F634" t="s">
        <v>2258</v>
      </c>
      <c r="G634" t="s">
        <v>22</v>
      </c>
      <c r="H634" t="s">
        <v>22</v>
      </c>
      <c r="I634" t="s">
        <v>1623</v>
      </c>
    </row>
    <row r="635" spans="1:9" ht="11.25" customHeight="1">
      <c r="A635" t="s">
        <v>2250</v>
      </c>
      <c r="B635" t="s">
        <v>16</v>
      </c>
      <c r="C635" t="s">
        <v>2511</v>
      </c>
      <c r="D635" t="s">
        <v>2512</v>
      </c>
      <c r="E635" t="s">
        <v>2513</v>
      </c>
      <c r="F635" t="s">
        <v>2514</v>
      </c>
      <c r="G635" t="s">
        <v>22</v>
      </c>
      <c r="H635" t="s">
        <v>22</v>
      </c>
      <c r="I635" t="s">
        <v>1623</v>
      </c>
    </row>
    <row r="636" spans="1:9" ht="11.25" customHeight="1">
      <c r="A636" t="s">
        <v>2250</v>
      </c>
      <c r="B636" t="s">
        <v>16</v>
      </c>
      <c r="C636" t="s">
        <v>2536</v>
      </c>
      <c r="D636" t="s">
        <v>2537</v>
      </c>
      <c r="E636" t="s">
        <v>2538</v>
      </c>
      <c r="F636" t="s">
        <v>2539</v>
      </c>
      <c r="G636" t="s">
        <v>22</v>
      </c>
      <c r="H636" t="s">
        <v>22</v>
      </c>
      <c r="I636" t="s">
        <v>1623</v>
      </c>
    </row>
    <row r="637" spans="1:9" ht="11.25" customHeight="1">
      <c r="A637" t="s">
        <v>2250</v>
      </c>
      <c r="B637" t="s">
        <v>16</v>
      </c>
      <c r="C637" t="s">
        <v>2540</v>
      </c>
      <c r="D637" t="s">
        <v>2541</v>
      </c>
      <c r="E637" t="s">
        <v>2542</v>
      </c>
      <c r="F637" t="s">
        <v>2543</v>
      </c>
      <c r="G637" t="s">
        <v>2544</v>
      </c>
      <c r="H637" t="s">
        <v>22</v>
      </c>
      <c r="I637" t="s">
        <v>1623</v>
      </c>
    </row>
    <row r="638" spans="1:9" ht="11.25" customHeight="1">
      <c r="A638" t="s">
        <v>2250</v>
      </c>
      <c r="B638" t="s">
        <v>16</v>
      </c>
      <c r="C638" t="s">
        <v>3322</v>
      </c>
      <c r="D638" t="s">
        <v>3323</v>
      </c>
      <c r="E638" t="s">
        <v>3324</v>
      </c>
      <c r="F638" t="s">
        <v>2318</v>
      </c>
      <c r="G638" t="s">
        <v>22</v>
      </c>
      <c r="H638" t="s">
        <v>22</v>
      </c>
      <c r="I638" t="s">
        <v>1623</v>
      </c>
    </row>
    <row r="639" spans="1:9" ht="11.25" customHeight="1">
      <c r="A639" t="s">
        <v>2250</v>
      </c>
      <c r="B639" t="s">
        <v>16</v>
      </c>
      <c r="C639" t="s">
        <v>3325</v>
      </c>
      <c r="D639" t="s">
        <v>3326</v>
      </c>
      <c r="E639" t="s">
        <v>3327</v>
      </c>
      <c r="F639" t="s">
        <v>2254</v>
      </c>
      <c r="G639" t="s">
        <v>22</v>
      </c>
      <c r="H639" t="s">
        <v>22</v>
      </c>
      <c r="I639" t="s">
        <v>1623</v>
      </c>
    </row>
    <row r="640" spans="1:9" ht="11.25" customHeight="1">
      <c r="A640" t="s">
        <v>2250</v>
      </c>
      <c r="B640" t="s">
        <v>16</v>
      </c>
      <c r="C640" t="s">
        <v>3328</v>
      </c>
      <c r="D640" t="s">
        <v>3329</v>
      </c>
      <c r="E640" t="s">
        <v>3330</v>
      </c>
      <c r="F640" t="s">
        <v>2282</v>
      </c>
      <c r="G640" t="s">
        <v>22</v>
      </c>
      <c r="H640" t="s">
        <v>22</v>
      </c>
      <c r="I640" t="s">
        <v>1623</v>
      </c>
    </row>
    <row r="641" spans="1:9" ht="11.25" customHeight="1">
      <c r="A641" t="s">
        <v>2250</v>
      </c>
      <c r="B641" t="s">
        <v>16</v>
      </c>
      <c r="C641" t="s">
        <v>2575</v>
      </c>
      <c r="D641" t="s">
        <v>2576</v>
      </c>
      <c r="E641" t="s">
        <v>2577</v>
      </c>
      <c r="F641" t="s">
        <v>2514</v>
      </c>
      <c r="G641" t="s">
        <v>22</v>
      </c>
      <c r="H641" t="s">
        <v>22</v>
      </c>
      <c r="I641" t="s">
        <v>1623</v>
      </c>
    </row>
    <row r="642" spans="1:9" ht="11.25" customHeight="1">
      <c r="A642" t="s">
        <v>2250</v>
      </c>
      <c r="B642" t="s">
        <v>16</v>
      </c>
      <c r="C642" t="s">
        <v>3331</v>
      </c>
      <c r="D642" t="s">
        <v>3332</v>
      </c>
      <c r="E642" t="s">
        <v>3333</v>
      </c>
      <c r="F642" t="s">
        <v>3334</v>
      </c>
      <c r="G642" t="s">
        <v>22</v>
      </c>
      <c r="H642" t="s">
        <v>22</v>
      </c>
      <c r="I642" t="s">
        <v>1623</v>
      </c>
    </row>
    <row r="643" spans="1:9" ht="11.25" customHeight="1">
      <c r="A643" t="s">
        <v>2250</v>
      </c>
      <c r="B643" t="s">
        <v>16</v>
      </c>
      <c r="C643" t="s">
        <v>3053</v>
      </c>
      <c r="D643" t="s">
        <v>3054</v>
      </c>
      <c r="E643" t="s">
        <v>3055</v>
      </c>
      <c r="F643" t="s">
        <v>3056</v>
      </c>
      <c r="G643" t="s">
        <v>3057</v>
      </c>
      <c r="H643" t="s">
        <v>22</v>
      </c>
      <c r="I643" t="s">
        <v>1623</v>
      </c>
    </row>
    <row r="644" spans="1:9" ht="11.25" customHeight="1">
      <c r="A644" t="s">
        <v>2250</v>
      </c>
      <c r="B644" t="s">
        <v>16</v>
      </c>
      <c r="C644" t="s">
        <v>3335</v>
      </c>
      <c r="D644" t="s">
        <v>3336</v>
      </c>
      <c r="E644" t="s">
        <v>3337</v>
      </c>
      <c r="F644" t="s">
        <v>2488</v>
      </c>
      <c r="G644" t="s">
        <v>22</v>
      </c>
      <c r="H644" t="s">
        <v>22</v>
      </c>
      <c r="I644" t="s">
        <v>1623</v>
      </c>
    </row>
    <row r="645" spans="1:9" ht="11.25" customHeight="1">
      <c r="A645" t="s">
        <v>2250</v>
      </c>
      <c r="B645" t="s">
        <v>16</v>
      </c>
      <c r="C645" t="s">
        <v>3338</v>
      </c>
      <c r="D645" t="s">
        <v>3339</v>
      </c>
      <c r="E645" t="s">
        <v>3340</v>
      </c>
      <c r="F645" t="s">
        <v>3341</v>
      </c>
      <c r="G645" t="s">
        <v>22</v>
      </c>
      <c r="H645" t="s">
        <v>22</v>
      </c>
      <c r="I645" t="s">
        <v>1623</v>
      </c>
    </row>
    <row r="646" spans="1:9" ht="11.25" customHeight="1">
      <c r="A646" t="s">
        <v>2250</v>
      </c>
      <c r="B646" t="s">
        <v>16</v>
      </c>
      <c r="C646" t="s">
        <v>3342</v>
      </c>
      <c r="D646" t="s">
        <v>3339</v>
      </c>
      <c r="E646" t="s">
        <v>3343</v>
      </c>
      <c r="F646" t="s">
        <v>2273</v>
      </c>
      <c r="G646" t="s">
        <v>22</v>
      </c>
      <c r="H646" t="s">
        <v>22</v>
      </c>
      <c r="I646" t="s">
        <v>1623</v>
      </c>
    </row>
    <row r="647" spans="1:9" ht="11.25" customHeight="1">
      <c r="A647" t="s">
        <v>2250</v>
      </c>
      <c r="B647" t="s">
        <v>16</v>
      </c>
      <c r="C647" t="s">
        <v>3344</v>
      </c>
      <c r="D647" t="s">
        <v>3339</v>
      </c>
      <c r="E647" t="s">
        <v>3345</v>
      </c>
      <c r="F647" t="s">
        <v>2808</v>
      </c>
      <c r="G647" t="s">
        <v>22</v>
      </c>
      <c r="H647" t="s">
        <v>22</v>
      </c>
      <c r="I647" t="s">
        <v>1623</v>
      </c>
    </row>
    <row r="648" spans="1:9" ht="11.25" customHeight="1">
      <c r="A648" t="s">
        <v>2250</v>
      </c>
      <c r="B648" t="s">
        <v>16</v>
      </c>
      <c r="C648" t="s">
        <v>3346</v>
      </c>
      <c r="D648" t="s">
        <v>3339</v>
      </c>
      <c r="E648" t="s">
        <v>3347</v>
      </c>
      <c r="F648" t="s">
        <v>2459</v>
      </c>
      <c r="G648" t="s">
        <v>22</v>
      </c>
      <c r="H648" t="s">
        <v>22</v>
      </c>
      <c r="I648" t="s">
        <v>1623</v>
      </c>
    </row>
    <row r="649" spans="1:9" ht="11.25" customHeight="1">
      <c r="A649" t="s">
        <v>2250</v>
      </c>
      <c r="B649" t="s">
        <v>16</v>
      </c>
      <c r="C649" t="s">
        <v>3348</v>
      </c>
      <c r="D649" t="s">
        <v>3349</v>
      </c>
      <c r="E649" t="s">
        <v>3350</v>
      </c>
      <c r="F649" t="s">
        <v>2521</v>
      </c>
      <c r="G649" t="s">
        <v>22</v>
      </c>
      <c r="H649" t="s">
        <v>22</v>
      </c>
      <c r="I649" t="s">
        <v>1623</v>
      </c>
    </row>
    <row r="650" spans="1:9" ht="11.25" customHeight="1">
      <c r="A650" t="s">
        <v>2250</v>
      </c>
      <c r="B650" t="s">
        <v>16</v>
      </c>
      <c r="C650" t="s">
        <v>3351</v>
      </c>
      <c r="D650" t="s">
        <v>3352</v>
      </c>
      <c r="E650" t="s">
        <v>3353</v>
      </c>
      <c r="F650" t="s">
        <v>2326</v>
      </c>
      <c r="G650" t="s">
        <v>22</v>
      </c>
      <c r="H650" t="s">
        <v>22</v>
      </c>
      <c r="I650" t="s">
        <v>1623</v>
      </c>
    </row>
    <row r="651" spans="1:9" ht="11.25" customHeight="1">
      <c r="A651" t="s">
        <v>2250</v>
      </c>
      <c r="B651" t="s">
        <v>16</v>
      </c>
      <c r="C651" t="s">
        <v>3354</v>
      </c>
      <c r="D651" t="s">
        <v>3355</v>
      </c>
      <c r="E651" t="s">
        <v>3356</v>
      </c>
      <c r="F651" t="s">
        <v>2647</v>
      </c>
      <c r="G651" t="s">
        <v>22</v>
      </c>
      <c r="H651" t="s">
        <v>22</v>
      </c>
      <c r="I651" t="s">
        <v>1623</v>
      </c>
    </row>
    <row r="652" spans="1:9" ht="11.25" customHeight="1">
      <c r="A652" t="s">
        <v>2250</v>
      </c>
      <c r="B652" t="s">
        <v>16</v>
      </c>
      <c r="C652" t="s">
        <v>3357</v>
      </c>
      <c r="D652" t="s">
        <v>3358</v>
      </c>
      <c r="E652" t="s">
        <v>3359</v>
      </c>
      <c r="F652" t="s">
        <v>2254</v>
      </c>
      <c r="G652" t="s">
        <v>22</v>
      </c>
      <c r="H652" t="s">
        <v>22</v>
      </c>
      <c r="I652" t="s">
        <v>1623</v>
      </c>
    </row>
    <row r="653" spans="1:9" ht="11.25" customHeight="1">
      <c r="A653" t="s">
        <v>2250</v>
      </c>
      <c r="B653" t="s">
        <v>16</v>
      </c>
      <c r="C653" t="s">
        <v>3360</v>
      </c>
      <c r="D653" t="s">
        <v>3361</v>
      </c>
      <c r="E653" t="s">
        <v>3362</v>
      </c>
      <c r="F653" t="s">
        <v>2584</v>
      </c>
      <c r="G653" t="s">
        <v>22</v>
      </c>
      <c r="H653" t="s">
        <v>22</v>
      </c>
      <c r="I653" t="s">
        <v>1623</v>
      </c>
    </row>
    <row r="654" spans="1:9" ht="11.25" customHeight="1">
      <c r="A654" t="s">
        <v>2250</v>
      </c>
      <c r="B654" t="s">
        <v>16</v>
      </c>
      <c r="C654" t="s">
        <v>3363</v>
      </c>
      <c r="D654" t="s">
        <v>3364</v>
      </c>
      <c r="E654" t="s">
        <v>3365</v>
      </c>
      <c r="F654" t="s">
        <v>2602</v>
      </c>
      <c r="G654" t="s">
        <v>22</v>
      </c>
      <c r="H654" t="s">
        <v>22</v>
      </c>
      <c r="I654" t="s">
        <v>1623</v>
      </c>
    </row>
    <row r="655" spans="1:9" ht="11.25" customHeight="1">
      <c r="A655" t="s">
        <v>2250</v>
      </c>
      <c r="B655" t="s">
        <v>16</v>
      </c>
      <c r="C655" t="s">
        <v>3366</v>
      </c>
      <c r="D655" t="s">
        <v>3367</v>
      </c>
      <c r="E655" t="s">
        <v>3368</v>
      </c>
      <c r="F655" t="s">
        <v>2647</v>
      </c>
      <c r="G655" t="s">
        <v>22</v>
      </c>
      <c r="H655" t="s">
        <v>22</v>
      </c>
      <c r="I655" t="s">
        <v>1623</v>
      </c>
    </row>
    <row r="656" spans="1:9" ht="11.25" customHeight="1">
      <c r="A656" t="s">
        <v>2250</v>
      </c>
      <c r="B656" t="s">
        <v>16</v>
      </c>
      <c r="C656" t="s">
        <v>3369</v>
      </c>
      <c r="D656" t="s">
        <v>3370</v>
      </c>
      <c r="E656" t="s">
        <v>3371</v>
      </c>
      <c r="F656" t="s">
        <v>2647</v>
      </c>
      <c r="G656" t="s">
        <v>22</v>
      </c>
      <c r="H656" t="s">
        <v>22</v>
      </c>
      <c r="I656" t="s">
        <v>1623</v>
      </c>
    </row>
    <row r="657" spans="1:9" ht="11.25" customHeight="1">
      <c r="A657" t="s">
        <v>2250</v>
      </c>
      <c r="B657" t="s">
        <v>16</v>
      </c>
      <c r="C657" t="s">
        <v>2687</v>
      </c>
      <c r="D657" t="s">
        <v>2688</v>
      </c>
      <c r="E657" t="s">
        <v>2689</v>
      </c>
      <c r="F657" t="s">
        <v>2690</v>
      </c>
      <c r="G657" t="s">
        <v>2691</v>
      </c>
      <c r="H657" t="s">
        <v>22</v>
      </c>
      <c r="I657" t="s">
        <v>1623</v>
      </c>
    </row>
    <row r="658" spans="1:9" ht="11.25" customHeight="1">
      <c r="A658" t="s">
        <v>2250</v>
      </c>
      <c r="B658" t="s">
        <v>16</v>
      </c>
      <c r="C658" t="s">
        <v>3372</v>
      </c>
      <c r="D658" t="s">
        <v>3373</v>
      </c>
      <c r="E658" t="s">
        <v>3374</v>
      </c>
      <c r="F658" t="s">
        <v>3375</v>
      </c>
      <c r="G658" t="s">
        <v>22</v>
      </c>
      <c r="H658" t="s">
        <v>22</v>
      </c>
      <c r="I658" t="s">
        <v>1623</v>
      </c>
    </row>
    <row r="659" spans="1:9" ht="11.25" customHeight="1">
      <c r="A659" t="s">
        <v>2250</v>
      </c>
      <c r="B659" t="s">
        <v>16</v>
      </c>
      <c r="C659" t="s">
        <v>3376</v>
      </c>
      <c r="D659" t="s">
        <v>3377</v>
      </c>
      <c r="E659" t="s">
        <v>3378</v>
      </c>
      <c r="F659" t="s">
        <v>2303</v>
      </c>
      <c r="G659" t="s">
        <v>22</v>
      </c>
      <c r="H659" t="s">
        <v>22</v>
      </c>
      <c r="I659" t="s">
        <v>1623</v>
      </c>
    </row>
    <row r="660" spans="1:9" ht="11.25" customHeight="1">
      <c r="A660" t="s">
        <v>2250</v>
      </c>
      <c r="B660" t="s">
        <v>16</v>
      </c>
      <c r="C660" t="s">
        <v>3379</v>
      </c>
      <c r="D660" t="s">
        <v>3380</v>
      </c>
      <c r="E660" t="s">
        <v>3381</v>
      </c>
      <c r="F660" t="s">
        <v>2647</v>
      </c>
      <c r="G660" t="s">
        <v>22</v>
      </c>
      <c r="H660" t="s">
        <v>22</v>
      </c>
      <c r="I660" t="s">
        <v>1623</v>
      </c>
    </row>
    <row r="661" spans="1:9" ht="11.25" customHeight="1">
      <c r="A661" t="s">
        <v>2250</v>
      </c>
      <c r="B661" t="s">
        <v>16</v>
      </c>
      <c r="C661" t="s">
        <v>3382</v>
      </c>
      <c r="D661" t="s">
        <v>3383</v>
      </c>
      <c r="E661" t="s">
        <v>3384</v>
      </c>
      <c r="F661" t="s">
        <v>2647</v>
      </c>
      <c r="G661" t="s">
        <v>22</v>
      </c>
      <c r="H661" t="s">
        <v>22</v>
      </c>
      <c r="I661" t="s">
        <v>1623</v>
      </c>
    </row>
    <row r="662" spans="1:9" ht="11.25" customHeight="1">
      <c r="A662" t="s">
        <v>2250</v>
      </c>
      <c r="B662" t="s">
        <v>16</v>
      </c>
      <c r="C662" t="s">
        <v>3385</v>
      </c>
      <c r="D662" t="s">
        <v>3386</v>
      </c>
      <c r="E662" t="s">
        <v>3387</v>
      </c>
      <c r="F662" t="s">
        <v>2818</v>
      </c>
      <c r="G662" t="s">
        <v>3388</v>
      </c>
      <c r="H662" t="s">
        <v>22</v>
      </c>
      <c r="I662" t="s">
        <v>1623</v>
      </c>
    </row>
    <row r="663" spans="1:9" ht="11.25" customHeight="1">
      <c r="A663" t="s">
        <v>2250</v>
      </c>
      <c r="B663" t="s">
        <v>16</v>
      </c>
      <c r="C663" t="s">
        <v>3389</v>
      </c>
      <c r="D663" t="s">
        <v>3390</v>
      </c>
      <c r="E663" t="s">
        <v>3391</v>
      </c>
      <c r="F663" t="s">
        <v>2584</v>
      </c>
      <c r="G663" t="s">
        <v>22</v>
      </c>
      <c r="H663" t="s">
        <v>22</v>
      </c>
      <c r="I663" t="s">
        <v>1623</v>
      </c>
    </row>
    <row r="664" spans="1:9" ht="11.25" customHeight="1">
      <c r="A664" t="s">
        <v>2250</v>
      </c>
      <c r="B664" t="s">
        <v>16</v>
      </c>
      <c r="C664" t="s">
        <v>2710</v>
      </c>
      <c r="D664" t="s">
        <v>2711</v>
      </c>
      <c r="E664" t="s">
        <v>2712</v>
      </c>
      <c r="F664" t="s">
        <v>2713</v>
      </c>
      <c r="G664" t="s">
        <v>22</v>
      </c>
      <c r="H664" t="s">
        <v>22</v>
      </c>
      <c r="I664" t="s">
        <v>1623</v>
      </c>
    </row>
    <row r="665" spans="1:9" ht="11.25" customHeight="1">
      <c r="A665" t="s">
        <v>2250</v>
      </c>
      <c r="B665" t="s">
        <v>16</v>
      </c>
      <c r="C665" t="s">
        <v>3392</v>
      </c>
      <c r="D665" t="s">
        <v>3393</v>
      </c>
      <c r="E665" t="s">
        <v>3394</v>
      </c>
      <c r="F665" t="s">
        <v>2647</v>
      </c>
      <c r="G665" t="s">
        <v>3395</v>
      </c>
      <c r="H665" t="s">
        <v>22</v>
      </c>
      <c r="I665" t="s">
        <v>1623</v>
      </c>
    </row>
    <row r="666" spans="1:9" ht="11.25" customHeight="1">
      <c r="A666" t="s">
        <v>2250</v>
      </c>
      <c r="B666" t="s">
        <v>16</v>
      </c>
      <c r="C666" t="s">
        <v>3396</v>
      </c>
      <c r="D666" t="s">
        <v>3397</v>
      </c>
      <c r="E666" t="s">
        <v>3398</v>
      </c>
      <c r="F666" t="s">
        <v>2330</v>
      </c>
      <c r="G666" t="s">
        <v>22</v>
      </c>
      <c r="H666" t="s">
        <v>22</v>
      </c>
      <c r="I666" t="s">
        <v>1623</v>
      </c>
    </row>
    <row r="667" spans="1:9" ht="11.25" customHeight="1">
      <c r="A667" t="s">
        <v>2250</v>
      </c>
      <c r="B667" t="s">
        <v>16</v>
      </c>
      <c r="C667" t="s">
        <v>3399</v>
      </c>
      <c r="D667" t="s">
        <v>3400</v>
      </c>
      <c r="E667" t="s">
        <v>3401</v>
      </c>
      <c r="F667" t="s">
        <v>2286</v>
      </c>
      <c r="G667" t="s">
        <v>22</v>
      </c>
      <c r="H667" t="s">
        <v>22</v>
      </c>
      <c r="I667" t="s">
        <v>1623</v>
      </c>
    </row>
    <row r="668" spans="1:9" ht="11.25" customHeight="1">
      <c r="A668" t="s">
        <v>2250</v>
      </c>
      <c r="B668" t="s">
        <v>16</v>
      </c>
      <c r="C668" t="s">
        <v>3402</v>
      </c>
      <c r="D668" t="s">
        <v>3403</v>
      </c>
      <c r="E668" t="s">
        <v>3404</v>
      </c>
      <c r="F668" t="s">
        <v>2262</v>
      </c>
      <c r="G668" t="s">
        <v>22</v>
      </c>
      <c r="H668" t="s">
        <v>22</v>
      </c>
      <c r="I668" t="s">
        <v>1623</v>
      </c>
    </row>
    <row r="669" spans="1:9" ht="11.25" customHeight="1">
      <c r="A669" t="s">
        <v>2250</v>
      </c>
      <c r="B669" t="s">
        <v>16</v>
      </c>
      <c r="C669" t="s">
        <v>3405</v>
      </c>
      <c r="D669" t="s">
        <v>3403</v>
      </c>
      <c r="E669" t="s">
        <v>3406</v>
      </c>
      <c r="F669" t="s">
        <v>2277</v>
      </c>
      <c r="G669" t="s">
        <v>22</v>
      </c>
      <c r="H669" t="s">
        <v>22</v>
      </c>
      <c r="I669" t="s">
        <v>1623</v>
      </c>
    </row>
    <row r="670" spans="1:9" ht="11.25" customHeight="1">
      <c r="A670" t="s">
        <v>2250</v>
      </c>
      <c r="B670" t="s">
        <v>16</v>
      </c>
      <c r="C670" t="s">
        <v>3407</v>
      </c>
      <c r="D670" t="s">
        <v>3408</v>
      </c>
      <c r="E670" t="s">
        <v>3409</v>
      </c>
      <c r="F670" t="s">
        <v>2640</v>
      </c>
      <c r="G670" t="s">
        <v>22</v>
      </c>
      <c r="H670" t="s">
        <v>22</v>
      </c>
      <c r="I670" t="s">
        <v>1623</v>
      </c>
    </row>
    <row r="671" spans="1:9" ht="11.25" customHeight="1">
      <c r="A671" t="s">
        <v>2250</v>
      </c>
      <c r="B671" t="s">
        <v>16</v>
      </c>
      <c r="C671" t="s">
        <v>3410</v>
      </c>
      <c r="D671" t="s">
        <v>3408</v>
      </c>
      <c r="E671" t="s">
        <v>3411</v>
      </c>
      <c r="F671" t="s">
        <v>2290</v>
      </c>
      <c r="G671" t="s">
        <v>22</v>
      </c>
      <c r="H671" t="s">
        <v>22</v>
      </c>
      <c r="I671" t="s">
        <v>1623</v>
      </c>
    </row>
    <row r="672" spans="1:9" ht="11.25" customHeight="1">
      <c r="A672" t="s">
        <v>2250</v>
      </c>
      <c r="B672" t="s">
        <v>16</v>
      </c>
      <c r="C672" t="s">
        <v>3412</v>
      </c>
      <c r="D672" t="s">
        <v>3413</v>
      </c>
      <c r="E672" t="s">
        <v>3414</v>
      </c>
      <c r="F672" t="s">
        <v>2277</v>
      </c>
      <c r="G672" t="s">
        <v>22</v>
      </c>
      <c r="H672" t="s">
        <v>22</v>
      </c>
      <c r="I672" t="s">
        <v>1623</v>
      </c>
    </row>
    <row r="673" spans="1:9" ht="11.25" customHeight="1">
      <c r="A673" t="s">
        <v>2250</v>
      </c>
      <c r="B673" t="s">
        <v>16</v>
      </c>
      <c r="C673" t="s">
        <v>3415</v>
      </c>
      <c r="D673" t="s">
        <v>3416</v>
      </c>
      <c r="E673" t="s">
        <v>3417</v>
      </c>
      <c r="F673" t="s">
        <v>2326</v>
      </c>
      <c r="G673" t="s">
        <v>22</v>
      </c>
      <c r="H673" t="s">
        <v>22</v>
      </c>
      <c r="I673" t="s">
        <v>1623</v>
      </c>
    </row>
    <row r="674" spans="1:9" ht="11.25" customHeight="1">
      <c r="A674" t="s">
        <v>2250</v>
      </c>
      <c r="B674" t="s">
        <v>16</v>
      </c>
      <c r="C674" t="s">
        <v>3418</v>
      </c>
      <c r="D674" t="s">
        <v>3419</v>
      </c>
      <c r="E674" t="s">
        <v>3420</v>
      </c>
      <c r="F674" t="s">
        <v>2258</v>
      </c>
      <c r="G674" t="s">
        <v>22</v>
      </c>
      <c r="H674" t="s">
        <v>22</v>
      </c>
      <c r="I674" t="s">
        <v>1623</v>
      </c>
    </row>
    <row r="675" spans="1:9" ht="11.25" customHeight="1">
      <c r="A675" t="s">
        <v>2250</v>
      </c>
      <c r="B675" t="s">
        <v>16</v>
      </c>
      <c r="C675" t="s">
        <v>3421</v>
      </c>
      <c r="D675" t="s">
        <v>3422</v>
      </c>
      <c r="E675" t="s">
        <v>3423</v>
      </c>
      <c r="F675" t="s">
        <v>2286</v>
      </c>
      <c r="G675" t="s">
        <v>22</v>
      </c>
      <c r="H675" t="s">
        <v>22</v>
      </c>
      <c r="I675" t="s">
        <v>1623</v>
      </c>
    </row>
    <row r="676" spans="1:9" ht="11.25" customHeight="1">
      <c r="A676" t="s">
        <v>2250</v>
      </c>
      <c r="B676" t="s">
        <v>16</v>
      </c>
      <c r="C676" t="s">
        <v>2756</v>
      </c>
      <c r="D676" t="s">
        <v>2757</v>
      </c>
      <c r="E676" t="s">
        <v>2758</v>
      </c>
      <c r="F676" t="s">
        <v>2759</v>
      </c>
      <c r="G676" t="s">
        <v>22</v>
      </c>
      <c r="H676" t="s">
        <v>22</v>
      </c>
      <c r="I676" t="s">
        <v>1623</v>
      </c>
    </row>
    <row r="677" spans="1:9" ht="11.25" customHeight="1">
      <c r="A677" t="s">
        <v>2250</v>
      </c>
      <c r="B677" t="s">
        <v>16</v>
      </c>
      <c r="C677" t="s">
        <v>3424</v>
      </c>
      <c r="D677" t="s">
        <v>3425</v>
      </c>
      <c r="E677" t="s">
        <v>3426</v>
      </c>
      <c r="F677" t="s">
        <v>2311</v>
      </c>
      <c r="G677" t="s">
        <v>22</v>
      </c>
      <c r="H677" t="s">
        <v>22</v>
      </c>
      <c r="I677" t="s">
        <v>1623</v>
      </c>
    </row>
    <row r="678" spans="1:9" ht="11.25" customHeight="1">
      <c r="A678" t="s">
        <v>2250</v>
      </c>
      <c r="B678" t="s">
        <v>16</v>
      </c>
      <c r="C678" t="s">
        <v>3427</v>
      </c>
      <c r="D678" t="s">
        <v>3428</v>
      </c>
      <c r="E678" t="s">
        <v>3429</v>
      </c>
      <c r="F678" t="s">
        <v>2410</v>
      </c>
      <c r="G678" t="s">
        <v>22</v>
      </c>
      <c r="H678" t="s">
        <v>22</v>
      </c>
      <c r="I678" t="s">
        <v>1623</v>
      </c>
    </row>
    <row r="679" spans="1:9" ht="11.25" customHeight="1">
      <c r="A679" t="s">
        <v>2250</v>
      </c>
      <c r="B679" t="s">
        <v>16</v>
      </c>
      <c r="C679" t="s">
        <v>3430</v>
      </c>
      <c r="D679" t="s">
        <v>3431</v>
      </c>
      <c r="E679" t="s">
        <v>3432</v>
      </c>
      <c r="F679" t="s">
        <v>2326</v>
      </c>
      <c r="G679" t="s">
        <v>22</v>
      </c>
      <c r="H679" t="s">
        <v>22</v>
      </c>
      <c r="I679" t="s">
        <v>1623</v>
      </c>
    </row>
    <row r="680" spans="1:9" ht="11.25" customHeight="1">
      <c r="A680" t="s">
        <v>2250</v>
      </c>
      <c r="B680" t="s">
        <v>16</v>
      </c>
      <c r="C680" t="s">
        <v>3433</v>
      </c>
      <c r="D680" t="s">
        <v>3434</v>
      </c>
      <c r="E680" t="s">
        <v>3435</v>
      </c>
      <c r="F680" t="s">
        <v>3436</v>
      </c>
      <c r="G680" t="s">
        <v>3437</v>
      </c>
      <c r="H680" t="s">
        <v>22</v>
      </c>
      <c r="I680" t="s">
        <v>1623</v>
      </c>
    </row>
    <row r="681" spans="1:9" ht="11.25" customHeight="1">
      <c r="A681" t="s">
        <v>2250</v>
      </c>
      <c r="B681" t="s">
        <v>16</v>
      </c>
      <c r="C681" t="s">
        <v>3438</v>
      </c>
      <c r="D681" t="s">
        <v>3439</v>
      </c>
      <c r="E681" t="s">
        <v>3440</v>
      </c>
      <c r="F681" t="s">
        <v>2307</v>
      </c>
      <c r="G681" t="s">
        <v>22</v>
      </c>
      <c r="H681" t="s">
        <v>22</v>
      </c>
      <c r="I681" t="s">
        <v>1623</v>
      </c>
    </row>
    <row r="682" spans="1:9" ht="11.25" customHeight="1">
      <c r="A682" t="s">
        <v>2250</v>
      </c>
      <c r="B682" t="s">
        <v>16</v>
      </c>
      <c r="C682" t="s">
        <v>3441</v>
      </c>
      <c r="D682" t="s">
        <v>3442</v>
      </c>
      <c r="E682" t="s">
        <v>3443</v>
      </c>
      <c r="F682" t="s">
        <v>2525</v>
      </c>
      <c r="G682" t="s">
        <v>22</v>
      </c>
      <c r="H682" t="s">
        <v>22</v>
      </c>
      <c r="I682" t="s">
        <v>1623</v>
      </c>
    </row>
    <row r="683" spans="1:9" ht="11.25" customHeight="1">
      <c r="A683" t="s">
        <v>2250</v>
      </c>
      <c r="B683" t="s">
        <v>16</v>
      </c>
      <c r="C683" t="s">
        <v>3444</v>
      </c>
      <c r="D683" t="s">
        <v>3445</v>
      </c>
      <c r="E683" t="s">
        <v>3446</v>
      </c>
      <c r="F683" t="s">
        <v>2286</v>
      </c>
      <c r="G683" t="s">
        <v>22</v>
      </c>
      <c r="H683" t="s">
        <v>22</v>
      </c>
      <c r="I683" t="s">
        <v>1623</v>
      </c>
    </row>
    <row r="684" spans="1:9" ht="11.25" customHeight="1">
      <c r="A684" t="s">
        <v>2250</v>
      </c>
      <c r="B684" t="s">
        <v>16</v>
      </c>
      <c r="C684" t="s">
        <v>3447</v>
      </c>
      <c r="D684" t="s">
        <v>3448</v>
      </c>
      <c r="E684" t="s">
        <v>3449</v>
      </c>
      <c r="F684" t="s">
        <v>3106</v>
      </c>
      <c r="G684" t="s">
        <v>22</v>
      </c>
      <c r="H684" t="s">
        <v>22</v>
      </c>
      <c r="I684" t="s">
        <v>1623</v>
      </c>
    </row>
    <row r="685" spans="1:9" ht="11.25" customHeight="1">
      <c r="A685" t="s">
        <v>2250</v>
      </c>
      <c r="B685" t="s">
        <v>16</v>
      </c>
      <c r="C685" t="s">
        <v>3450</v>
      </c>
      <c r="D685" t="s">
        <v>3451</v>
      </c>
      <c r="E685" t="s">
        <v>3452</v>
      </c>
      <c r="F685" t="s">
        <v>2254</v>
      </c>
      <c r="G685" t="s">
        <v>22</v>
      </c>
      <c r="H685" t="s">
        <v>22</v>
      </c>
      <c r="I685" t="s">
        <v>1623</v>
      </c>
    </row>
    <row r="686" spans="1:9" ht="11.25" customHeight="1">
      <c r="A686" t="s">
        <v>2250</v>
      </c>
      <c r="B686" t="s">
        <v>16</v>
      </c>
      <c r="C686" t="s">
        <v>3453</v>
      </c>
      <c r="D686" t="s">
        <v>3454</v>
      </c>
      <c r="E686" t="s">
        <v>3455</v>
      </c>
      <c r="F686" t="s">
        <v>2254</v>
      </c>
      <c r="G686" t="s">
        <v>22</v>
      </c>
      <c r="H686" t="s">
        <v>22</v>
      </c>
      <c r="I686" t="s">
        <v>1623</v>
      </c>
    </row>
    <row r="687" spans="1:9" ht="11.25" customHeight="1">
      <c r="A687" t="s">
        <v>2250</v>
      </c>
      <c r="B687" t="s">
        <v>16</v>
      </c>
      <c r="C687" t="s">
        <v>3456</v>
      </c>
      <c r="D687" t="s">
        <v>3457</v>
      </c>
      <c r="E687" t="s">
        <v>3458</v>
      </c>
      <c r="F687" t="s">
        <v>2647</v>
      </c>
      <c r="G687" t="s">
        <v>22</v>
      </c>
      <c r="H687" t="s">
        <v>22</v>
      </c>
      <c r="I687" t="s">
        <v>1623</v>
      </c>
    </row>
    <row r="688" spans="1:9" ht="11.25" customHeight="1">
      <c r="A688" t="s">
        <v>2250</v>
      </c>
      <c r="B688" t="s">
        <v>16</v>
      </c>
      <c r="C688" t="s">
        <v>3459</v>
      </c>
      <c r="D688" t="s">
        <v>3460</v>
      </c>
      <c r="E688" t="s">
        <v>3461</v>
      </c>
      <c r="F688" t="s">
        <v>2647</v>
      </c>
      <c r="G688" t="s">
        <v>22</v>
      </c>
      <c r="H688" t="s">
        <v>22</v>
      </c>
      <c r="I688" t="s">
        <v>1623</v>
      </c>
    </row>
    <row r="689" spans="1:9" ht="11.25" customHeight="1">
      <c r="A689" t="s">
        <v>2250</v>
      </c>
      <c r="B689" t="s">
        <v>16</v>
      </c>
      <c r="C689" t="s">
        <v>3462</v>
      </c>
      <c r="D689" t="s">
        <v>3463</v>
      </c>
      <c r="E689" t="s">
        <v>3464</v>
      </c>
      <c r="F689" t="s">
        <v>2647</v>
      </c>
      <c r="G689" t="s">
        <v>22</v>
      </c>
      <c r="H689" t="s">
        <v>22</v>
      </c>
      <c r="I689" t="s">
        <v>1623</v>
      </c>
    </row>
    <row r="690" spans="1:9" ht="11.25" customHeight="1">
      <c r="A690" t="s">
        <v>2250</v>
      </c>
      <c r="B690" t="s">
        <v>16</v>
      </c>
      <c r="C690" t="s">
        <v>3465</v>
      </c>
      <c r="D690" t="s">
        <v>3466</v>
      </c>
      <c r="E690" t="s">
        <v>3467</v>
      </c>
      <c r="F690" t="s">
        <v>2258</v>
      </c>
      <c r="G690" t="s">
        <v>22</v>
      </c>
      <c r="H690" t="s">
        <v>22</v>
      </c>
      <c r="I690" t="s">
        <v>1623</v>
      </c>
    </row>
    <row r="691" spans="1:9" ht="11.25" customHeight="1">
      <c r="A691" t="s">
        <v>2250</v>
      </c>
      <c r="B691" t="s">
        <v>16</v>
      </c>
      <c r="C691" t="s">
        <v>3468</v>
      </c>
      <c r="D691" t="s">
        <v>3469</v>
      </c>
      <c r="E691" t="s">
        <v>3470</v>
      </c>
      <c r="F691" t="s">
        <v>2640</v>
      </c>
      <c r="G691" t="s">
        <v>22</v>
      </c>
      <c r="H691" t="s">
        <v>22</v>
      </c>
      <c r="I691" t="s">
        <v>1623</v>
      </c>
    </row>
    <row r="692" spans="1:9" ht="11.25" customHeight="1">
      <c r="A692" t="s">
        <v>2250</v>
      </c>
      <c r="B692" t="s">
        <v>16</v>
      </c>
      <c r="C692" t="s">
        <v>3471</v>
      </c>
      <c r="D692" t="s">
        <v>3472</v>
      </c>
      <c r="E692" t="s">
        <v>3473</v>
      </c>
      <c r="F692" t="s">
        <v>51</v>
      </c>
      <c r="G692" t="s">
        <v>22</v>
      </c>
      <c r="H692" t="s">
        <v>22</v>
      </c>
      <c r="I692" t="s">
        <v>1623</v>
      </c>
    </row>
    <row r="693" spans="1:9" ht="11.25" customHeight="1">
      <c r="A693" t="s">
        <v>2250</v>
      </c>
      <c r="B693" t="s">
        <v>16</v>
      </c>
      <c r="C693" t="s">
        <v>3474</v>
      </c>
      <c r="D693" t="s">
        <v>3475</v>
      </c>
      <c r="E693" t="s">
        <v>3476</v>
      </c>
      <c r="F693" t="s">
        <v>3477</v>
      </c>
      <c r="G693" t="s">
        <v>22</v>
      </c>
      <c r="H693" t="s">
        <v>22</v>
      </c>
      <c r="I693" t="s">
        <v>1623</v>
      </c>
    </row>
    <row r="694" spans="1:9" ht="11.25" customHeight="1">
      <c r="A694" t="s">
        <v>2250</v>
      </c>
      <c r="B694" t="s">
        <v>16</v>
      </c>
      <c r="C694" t="s">
        <v>3478</v>
      </c>
      <c r="D694" t="s">
        <v>3479</v>
      </c>
      <c r="E694" t="s">
        <v>3480</v>
      </c>
      <c r="F694" t="s">
        <v>2647</v>
      </c>
      <c r="G694" t="s">
        <v>22</v>
      </c>
      <c r="H694" t="s">
        <v>22</v>
      </c>
      <c r="I694" t="s">
        <v>1623</v>
      </c>
    </row>
    <row r="695" spans="1:9" ht="11.25" customHeight="1">
      <c r="A695" t="s">
        <v>2250</v>
      </c>
      <c r="B695" t="s">
        <v>16</v>
      </c>
      <c r="C695" t="s">
        <v>3481</v>
      </c>
      <c r="D695" t="s">
        <v>3482</v>
      </c>
      <c r="E695" t="s">
        <v>3483</v>
      </c>
      <c r="F695" t="s">
        <v>2492</v>
      </c>
      <c r="G695" t="s">
        <v>22</v>
      </c>
      <c r="H695" t="s">
        <v>22</v>
      </c>
      <c r="I695" t="s">
        <v>1623</v>
      </c>
    </row>
    <row r="696" spans="1:9" ht="11.25" customHeight="1">
      <c r="A696" t="s">
        <v>2250</v>
      </c>
      <c r="B696" t="s">
        <v>16</v>
      </c>
      <c r="C696" t="s">
        <v>3484</v>
      </c>
      <c r="D696" t="s">
        <v>3485</v>
      </c>
      <c r="E696" t="s">
        <v>3486</v>
      </c>
      <c r="F696" t="s">
        <v>2311</v>
      </c>
      <c r="G696" t="s">
        <v>22</v>
      </c>
      <c r="H696" t="s">
        <v>22</v>
      </c>
      <c r="I696" t="s">
        <v>1623</v>
      </c>
    </row>
    <row r="697" spans="1:9" ht="11.25" customHeight="1">
      <c r="A697" t="s">
        <v>2250</v>
      </c>
      <c r="B697" t="s">
        <v>16</v>
      </c>
      <c r="C697" t="s">
        <v>3487</v>
      </c>
      <c r="D697" t="s">
        <v>3488</v>
      </c>
      <c r="E697" t="s">
        <v>3489</v>
      </c>
      <c r="F697" t="s">
        <v>2602</v>
      </c>
      <c r="G697" t="s">
        <v>22</v>
      </c>
      <c r="H697" t="s">
        <v>22</v>
      </c>
      <c r="I697" t="s">
        <v>1623</v>
      </c>
    </row>
    <row r="698" spans="1:9" ht="11.25" customHeight="1">
      <c r="A698" t="s">
        <v>2250</v>
      </c>
      <c r="B698" t="s">
        <v>16</v>
      </c>
      <c r="C698" t="s">
        <v>3490</v>
      </c>
      <c r="D698" t="s">
        <v>3491</v>
      </c>
      <c r="E698" t="s">
        <v>3492</v>
      </c>
      <c r="F698" t="s">
        <v>2254</v>
      </c>
      <c r="G698" t="s">
        <v>22</v>
      </c>
      <c r="H698" t="s">
        <v>22</v>
      </c>
      <c r="I698" t="s">
        <v>1623</v>
      </c>
    </row>
    <row r="699" spans="1:9" ht="11.25" customHeight="1">
      <c r="A699" t="s">
        <v>2250</v>
      </c>
      <c r="B699" t="s">
        <v>16</v>
      </c>
      <c r="C699" t="s">
        <v>3493</v>
      </c>
      <c r="D699" t="s">
        <v>3494</v>
      </c>
      <c r="E699" t="s">
        <v>3495</v>
      </c>
      <c r="F699" t="s">
        <v>2330</v>
      </c>
      <c r="G699" t="s">
        <v>22</v>
      </c>
      <c r="H699" t="s">
        <v>22</v>
      </c>
      <c r="I699" t="s">
        <v>1623</v>
      </c>
    </row>
    <row r="700" spans="1:9" ht="11.25" customHeight="1">
      <c r="A700" t="s">
        <v>2250</v>
      </c>
      <c r="B700" t="s">
        <v>16</v>
      </c>
      <c r="C700" t="s">
        <v>3496</v>
      </c>
      <c r="D700" t="s">
        <v>3497</v>
      </c>
      <c r="E700" t="s">
        <v>3498</v>
      </c>
      <c r="F700" t="s">
        <v>2322</v>
      </c>
      <c r="G700" t="s">
        <v>22</v>
      </c>
      <c r="H700" t="s">
        <v>22</v>
      </c>
      <c r="I700" t="s">
        <v>1623</v>
      </c>
    </row>
    <row r="701" spans="1:9" ht="11.25" customHeight="1">
      <c r="A701" t="s">
        <v>2250</v>
      </c>
      <c r="B701" t="s">
        <v>16</v>
      </c>
      <c r="C701" t="s">
        <v>3499</v>
      </c>
      <c r="D701" t="s">
        <v>3500</v>
      </c>
      <c r="E701" t="s">
        <v>3501</v>
      </c>
      <c r="F701" t="s">
        <v>2311</v>
      </c>
      <c r="G701" t="s">
        <v>22</v>
      </c>
      <c r="H701" t="s">
        <v>22</v>
      </c>
      <c r="I701" t="s">
        <v>1623</v>
      </c>
    </row>
    <row r="702" spans="1:9" ht="11.25" customHeight="1">
      <c r="A702" t="s">
        <v>2250</v>
      </c>
      <c r="B702" t="s">
        <v>16</v>
      </c>
      <c r="C702" t="s">
        <v>3502</v>
      </c>
      <c r="D702" t="s">
        <v>3503</v>
      </c>
      <c r="E702" t="s">
        <v>3504</v>
      </c>
      <c r="F702" t="s">
        <v>2307</v>
      </c>
      <c r="G702" t="s">
        <v>22</v>
      </c>
      <c r="H702" t="s">
        <v>22</v>
      </c>
      <c r="I702" t="s">
        <v>1623</v>
      </c>
    </row>
    <row r="703" spans="1:9" ht="11.25" customHeight="1">
      <c r="A703" t="s">
        <v>2250</v>
      </c>
      <c r="B703" t="s">
        <v>16</v>
      </c>
      <c r="C703" t="s">
        <v>3505</v>
      </c>
      <c r="D703" t="s">
        <v>3506</v>
      </c>
      <c r="E703" t="s">
        <v>3507</v>
      </c>
      <c r="F703" t="s">
        <v>2307</v>
      </c>
      <c r="G703" t="s">
        <v>22</v>
      </c>
      <c r="H703" t="s">
        <v>22</v>
      </c>
      <c r="I703" t="s">
        <v>1623</v>
      </c>
    </row>
    <row r="704" spans="1:9" ht="11.25" customHeight="1">
      <c r="A704" t="s">
        <v>2250</v>
      </c>
      <c r="B704" t="s">
        <v>16</v>
      </c>
      <c r="C704" t="s">
        <v>3508</v>
      </c>
      <c r="D704" t="s">
        <v>3509</v>
      </c>
      <c r="E704" t="s">
        <v>3510</v>
      </c>
      <c r="F704" t="s">
        <v>2326</v>
      </c>
      <c r="G704" t="s">
        <v>22</v>
      </c>
      <c r="H704" t="s">
        <v>22</v>
      </c>
      <c r="I704" t="s">
        <v>1623</v>
      </c>
    </row>
    <row r="705" spans="1:9" ht="11.25" customHeight="1">
      <c r="A705" t="s">
        <v>2250</v>
      </c>
      <c r="B705" t="s">
        <v>16</v>
      </c>
      <c r="C705" t="s">
        <v>3511</v>
      </c>
      <c r="D705" t="s">
        <v>3512</v>
      </c>
      <c r="E705" t="s">
        <v>3513</v>
      </c>
      <c r="F705" t="s">
        <v>2521</v>
      </c>
      <c r="G705" t="s">
        <v>22</v>
      </c>
      <c r="H705" t="s">
        <v>22</v>
      </c>
      <c r="I705" t="s">
        <v>1623</v>
      </c>
    </row>
    <row r="706" spans="1:9" ht="11.25" customHeight="1">
      <c r="A706" t="s">
        <v>2250</v>
      </c>
      <c r="B706" t="s">
        <v>16</v>
      </c>
      <c r="C706" t="s">
        <v>3514</v>
      </c>
      <c r="D706" t="s">
        <v>3515</v>
      </c>
      <c r="E706" t="s">
        <v>3516</v>
      </c>
      <c r="F706" t="s">
        <v>2326</v>
      </c>
      <c r="G706" t="s">
        <v>22</v>
      </c>
      <c r="H706" t="s">
        <v>22</v>
      </c>
      <c r="I706" t="s">
        <v>1623</v>
      </c>
    </row>
    <row r="707" spans="1:9" ht="11.25" customHeight="1">
      <c r="A707" t="s">
        <v>2250</v>
      </c>
      <c r="B707" t="s">
        <v>16</v>
      </c>
      <c r="C707" t="s">
        <v>3517</v>
      </c>
      <c r="D707" t="s">
        <v>3518</v>
      </c>
      <c r="E707" t="s">
        <v>3519</v>
      </c>
      <c r="F707" t="s">
        <v>2273</v>
      </c>
      <c r="G707" t="s">
        <v>22</v>
      </c>
      <c r="H707" t="s">
        <v>22</v>
      </c>
      <c r="I707" t="s">
        <v>1623</v>
      </c>
    </row>
    <row r="708" spans="1:9" ht="11.25" customHeight="1">
      <c r="A708" t="s">
        <v>2250</v>
      </c>
      <c r="B708" t="s">
        <v>16</v>
      </c>
      <c r="C708" t="s">
        <v>3520</v>
      </c>
      <c r="D708" t="s">
        <v>3521</v>
      </c>
      <c r="E708" t="s">
        <v>3522</v>
      </c>
      <c r="F708" t="s">
        <v>2370</v>
      </c>
      <c r="G708" t="s">
        <v>22</v>
      </c>
      <c r="H708" t="s">
        <v>22</v>
      </c>
      <c r="I708" t="s">
        <v>1623</v>
      </c>
    </row>
    <row r="709" spans="1:9" ht="11.25" customHeight="1">
      <c r="A709" t="s">
        <v>2250</v>
      </c>
      <c r="B709" t="s">
        <v>16</v>
      </c>
      <c r="C709" t="s">
        <v>3523</v>
      </c>
      <c r="D709" t="s">
        <v>3524</v>
      </c>
      <c r="E709" t="s">
        <v>3525</v>
      </c>
      <c r="F709" t="s">
        <v>2326</v>
      </c>
      <c r="G709" t="s">
        <v>22</v>
      </c>
      <c r="H709" t="s">
        <v>22</v>
      </c>
      <c r="I709" t="s">
        <v>1623</v>
      </c>
    </row>
    <row r="710" spans="1:9" ht="11.25" customHeight="1">
      <c r="A710" t="s">
        <v>2250</v>
      </c>
      <c r="B710" t="s">
        <v>16</v>
      </c>
      <c r="C710" t="s">
        <v>3526</v>
      </c>
      <c r="D710" t="s">
        <v>3527</v>
      </c>
      <c r="E710" t="s">
        <v>3528</v>
      </c>
      <c r="F710" t="s">
        <v>2318</v>
      </c>
      <c r="G710" t="s">
        <v>22</v>
      </c>
      <c r="H710" t="s">
        <v>22</v>
      </c>
      <c r="I710" t="s">
        <v>1623</v>
      </c>
    </row>
    <row r="711" spans="1:9" ht="11.25" customHeight="1">
      <c r="A711" t="s">
        <v>2250</v>
      </c>
      <c r="B711" t="s">
        <v>16</v>
      </c>
      <c r="C711" t="s">
        <v>3529</v>
      </c>
      <c r="D711" t="s">
        <v>3530</v>
      </c>
      <c r="E711" t="s">
        <v>3531</v>
      </c>
      <c r="F711" t="s">
        <v>2417</v>
      </c>
      <c r="G711" t="s">
        <v>22</v>
      </c>
      <c r="H711" t="s">
        <v>22</v>
      </c>
      <c r="I711" t="s">
        <v>1623</v>
      </c>
    </row>
    <row r="712" spans="1:9" ht="11.25" customHeight="1">
      <c r="A712" t="s">
        <v>2250</v>
      </c>
      <c r="B712" t="s">
        <v>16</v>
      </c>
      <c r="C712" t="s">
        <v>3532</v>
      </c>
      <c r="D712" t="s">
        <v>3533</v>
      </c>
      <c r="E712" t="s">
        <v>3534</v>
      </c>
      <c r="F712" t="s">
        <v>2254</v>
      </c>
      <c r="G712" t="s">
        <v>22</v>
      </c>
      <c r="H712" t="s">
        <v>22</v>
      </c>
      <c r="I712" t="s">
        <v>1623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C70EC-B0D6-CA49-6AB3-5DF589A6602E}">
  <sheetPr>
    <tabColor rgb="FFFFCC99"/>
  </sheetPr>
  <dimension ref="A1:G957"/>
  <sheetViews>
    <sheetView showGridLines="0" workbookViewId="0"/>
  </sheetViews>
  <sheetFormatPr defaultRowHeight="11.25" customHeight="1"/>
  <sheetData>
    <row r="1" spans="1:7" ht="11.25" customHeight="1">
      <c r="A1" t="s">
        <v>3535</v>
      </c>
      <c r="B1" s="2" t="s">
        <v>3536</v>
      </c>
      <c r="C1" s="2" t="s">
        <v>3537</v>
      </c>
      <c r="D1" s="2" t="s">
        <v>3538</v>
      </c>
      <c r="E1" t="s">
        <v>3539</v>
      </c>
      <c r="F1" t="s">
        <v>3540</v>
      </c>
      <c r="G1" t="s">
        <v>3541</v>
      </c>
    </row>
    <row r="2" spans="1:7" ht="11.25" customHeight="1">
      <c r="A2" t="s">
        <v>16</v>
      </c>
      <c r="B2" t="s">
        <v>3542</v>
      </c>
      <c r="C2" t="s">
        <v>3543</v>
      </c>
      <c r="D2" t="s">
        <v>3542</v>
      </c>
      <c r="E2" t="s">
        <v>3543</v>
      </c>
      <c r="F2" t="s">
        <v>3544</v>
      </c>
      <c r="G2" t="s">
        <v>115</v>
      </c>
    </row>
    <row r="3" spans="1:7" ht="11.25" customHeight="1">
      <c r="A3" t="s">
        <v>16</v>
      </c>
      <c r="B3" t="s">
        <v>3542</v>
      </c>
      <c r="C3" t="s">
        <v>3543</v>
      </c>
      <c r="D3" t="s">
        <v>3545</v>
      </c>
      <c r="E3" t="s">
        <v>3546</v>
      </c>
      <c r="F3" t="s">
        <v>3547</v>
      </c>
      <c r="G3" t="s">
        <v>103</v>
      </c>
    </row>
    <row r="4" spans="1:7" ht="11.25" customHeight="1">
      <c r="A4" t="s">
        <v>16</v>
      </c>
      <c r="B4" t="s">
        <v>3542</v>
      </c>
      <c r="C4" t="s">
        <v>3543</v>
      </c>
      <c r="D4" t="s">
        <v>3548</v>
      </c>
      <c r="E4" t="s">
        <v>3549</v>
      </c>
      <c r="F4" t="s">
        <v>3547</v>
      </c>
      <c r="G4" t="s">
        <v>90</v>
      </c>
    </row>
    <row r="5" spans="1:7" ht="11.25" customHeight="1">
      <c r="A5" t="s">
        <v>16</v>
      </c>
      <c r="B5" t="s">
        <v>3542</v>
      </c>
      <c r="C5" t="s">
        <v>3543</v>
      </c>
      <c r="D5" t="s">
        <v>3550</v>
      </c>
      <c r="E5" t="s">
        <v>3551</v>
      </c>
      <c r="F5" t="s">
        <v>3552</v>
      </c>
      <c r="G5" t="s">
        <v>91</v>
      </c>
    </row>
    <row r="6" spans="1:7" ht="11.25" customHeight="1">
      <c r="A6" t="s">
        <v>16</v>
      </c>
      <c r="B6" t="s">
        <v>3542</v>
      </c>
      <c r="C6" t="s">
        <v>3543</v>
      </c>
      <c r="D6" t="s">
        <v>3553</v>
      </c>
      <c r="E6" t="s">
        <v>3554</v>
      </c>
      <c r="F6" t="s">
        <v>3547</v>
      </c>
      <c r="G6" t="s">
        <v>116</v>
      </c>
    </row>
    <row r="7" spans="1:7" ht="11.25" customHeight="1">
      <c r="A7" t="s">
        <v>16</v>
      </c>
      <c r="B7" t="s">
        <v>3542</v>
      </c>
      <c r="C7" t="s">
        <v>3543</v>
      </c>
      <c r="D7" t="s">
        <v>3555</v>
      </c>
      <c r="E7" t="s">
        <v>3556</v>
      </c>
      <c r="F7" t="s">
        <v>3547</v>
      </c>
      <c r="G7" t="s">
        <v>92</v>
      </c>
    </row>
    <row r="8" spans="1:7" ht="11.25" customHeight="1">
      <c r="A8" t="s">
        <v>16</v>
      </c>
      <c r="B8" t="s">
        <v>3542</v>
      </c>
      <c r="C8" t="s">
        <v>3543</v>
      </c>
      <c r="D8" t="s">
        <v>3557</v>
      </c>
      <c r="E8" t="s">
        <v>3558</v>
      </c>
      <c r="F8" t="s">
        <v>3547</v>
      </c>
      <c r="G8" t="s">
        <v>93</v>
      </c>
    </row>
    <row r="9" spans="1:7" ht="11.25" customHeight="1">
      <c r="A9" t="s">
        <v>16</v>
      </c>
      <c r="B9" t="s">
        <v>3542</v>
      </c>
      <c r="C9" t="s">
        <v>3543</v>
      </c>
      <c r="D9" t="s">
        <v>3559</v>
      </c>
      <c r="E9" t="s">
        <v>3560</v>
      </c>
      <c r="F9" t="s">
        <v>3547</v>
      </c>
      <c r="G9" t="s">
        <v>117</v>
      </c>
    </row>
    <row r="10" spans="1:7" ht="11.25" customHeight="1">
      <c r="A10" t="s">
        <v>16</v>
      </c>
      <c r="B10" t="s">
        <v>3542</v>
      </c>
      <c r="C10" t="s">
        <v>3543</v>
      </c>
      <c r="D10" t="s">
        <v>3561</v>
      </c>
      <c r="E10" t="s">
        <v>3562</v>
      </c>
      <c r="F10" t="s">
        <v>3547</v>
      </c>
      <c r="G10" t="s">
        <v>154</v>
      </c>
    </row>
    <row r="11" spans="1:7" ht="11.25" customHeight="1">
      <c r="A11" t="s">
        <v>16</v>
      </c>
      <c r="B11" t="s">
        <v>3542</v>
      </c>
      <c r="C11" t="s">
        <v>3543</v>
      </c>
      <c r="D11" t="s">
        <v>3563</v>
      </c>
      <c r="E11" t="s">
        <v>3564</v>
      </c>
      <c r="F11" t="s">
        <v>3547</v>
      </c>
      <c r="G11" t="s">
        <v>155</v>
      </c>
    </row>
    <row r="12" spans="1:7" ht="11.25" customHeight="1">
      <c r="A12" t="s">
        <v>16</v>
      </c>
      <c r="B12" t="s">
        <v>3542</v>
      </c>
      <c r="C12" t="s">
        <v>3543</v>
      </c>
      <c r="D12" t="s">
        <v>3565</v>
      </c>
      <c r="E12" t="s">
        <v>3566</v>
      </c>
      <c r="F12" t="s">
        <v>3547</v>
      </c>
      <c r="G12" t="s">
        <v>156</v>
      </c>
    </row>
    <row r="13" spans="1:7" ht="11.25" customHeight="1">
      <c r="A13" t="s">
        <v>16</v>
      </c>
      <c r="B13" t="s">
        <v>3542</v>
      </c>
      <c r="C13" t="s">
        <v>3543</v>
      </c>
      <c r="D13" t="s">
        <v>3567</v>
      </c>
      <c r="E13" t="s">
        <v>3568</v>
      </c>
      <c r="F13" t="s">
        <v>3547</v>
      </c>
      <c r="G13" t="s">
        <v>157</v>
      </c>
    </row>
    <row r="14" spans="1:7" ht="11.25" customHeight="1">
      <c r="A14" t="s">
        <v>16</v>
      </c>
      <c r="B14" t="s">
        <v>3542</v>
      </c>
      <c r="C14" t="s">
        <v>3543</v>
      </c>
      <c r="D14" t="s">
        <v>3569</v>
      </c>
      <c r="E14" t="s">
        <v>3570</v>
      </c>
      <c r="F14" t="s">
        <v>3547</v>
      </c>
      <c r="G14" t="s">
        <v>158</v>
      </c>
    </row>
    <row r="15" spans="1:7" ht="11.25" customHeight="1">
      <c r="A15" t="s">
        <v>16</v>
      </c>
      <c r="B15" t="s">
        <v>3542</v>
      </c>
      <c r="C15" t="s">
        <v>3543</v>
      </c>
      <c r="D15" t="s">
        <v>3571</v>
      </c>
      <c r="E15" t="s">
        <v>3572</v>
      </c>
      <c r="F15" t="s">
        <v>3547</v>
      </c>
      <c r="G15" t="s">
        <v>159</v>
      </c>
    </row>
    <row r="16" spans="1:7" ht="11.25" customHeight="1">
      <c r="A16" t="s">
        <v>16</v>
      </c>
      <c r="B16" t="s">
        <v>3542</v>
      </c>
      <c r="C16" t="s">
        <v>3543</v>
      </c>
      <c r="D16" t="s">
        <v>3573</v>
      </c>
      <c r="E16" t="s">
        <v>3574</v>
      </c>
      <c r="F16" t="s">
        <v>3547</v>
      </c>
      <c r="G16" t="s">
        <v>1466</v>
      </c>
    </row>
    <row r="17" spans="1:7" ht="11.25" customHeight="1">
      <c r="A17" t="s">
        <v>16</v>
      </c>
      <c r="B17" t="s">
        <v>3542</v>
      </c>
      <c r="C17" t="s">
        <v>3543</v>
      </c>
      <c r="D17" t="s">
        <v>3575</v>
      </c>
      <c r="E17" t="s">
        <v>3576</v>
      </c>
      <c r="F17" t="s">
        <v>3547</v>
      </c>
      <c r="G17" t="s">
        <v>1472</v>
      </c>
    </row>
    <row r="18" spans="1:7" ht="11.25" customHeight="1">
      <c r="A18" t="s">
        <v>16</v>
      </c>
      <c r="B18" t="s">
        <v>3542</v>
      </c>
      <c r="C18" t="s">
        <v>3543</v>
      </c>
      <c r="D18" t="s">
        <v>3577</v>
      </c>
      <c r="E18" t="s">
        <v>3578</v>
      </c>
      <c r="F18" t="s">
        <v>3547</v>
      </c>
      <c r="G18" t="s">
        <v>1484</v>
      </c>
    </row>
    <row r="19" spans="1:7" ht="11.25" customHeight="1">
      <c r="A19" t="s">
        <v>16</v>
      </c>
      <c r="B19" t="s">
        <v>3542</v>
      </c>
      <c r="C19" t="s">
        <v>3543</v>
      </c>
      <c r="D19" t="s">
        <v>3579</v>
      </c>
      <c r="E19" t="s">
        <v>3580</v>
      </c>
      <c r="F19" t="s">
        <v>3547</v>
      </c>
      <c r="G19" t="s">
        <v>1498</v>
      </c>
    </row>
    <row r="20" spans="1:7" ht="11.25" customHeight="1">
      <c r="A20" t="s">
        <v>16</v>
      </c>
      <c r="B20" t="s">
        <v>3542</v>
      </c>
      <c r="C20" t="s">
        <v>3543</v>
      </c>
      <c r="D20" t="s">
        <v>3581</v>
      </c>
      <c r="E20" t="s">
        <v>3582</v>
      </c>
      <c r="F20" t="s">
        <v>3547</v>
      </c>
      <c r="G20" t="s">
        <v>1510</v>
      </c>
    </row>
    <row r="21" spans="1:7" ht="11.25" customHeight="1">
      <c r="A21" t="s">
        <v>16</v>
      </c>
      <c r="B21" t="s">
        <v>3542</v>
      </c>
      <c r="C21" t="s">
        <v>3543</v>
      </c>
      <c r="D21" t="s">
        <v>3583</v>
      </c>
      <c r="E21" t="s">
        <v>3584</v>
      </c>
      <c r="F21" t="s">
        <v>3547</v>
      </c>
      <c r="G21" t="s">
        <v>1519</v>
      </c>
    </row>
    <row r="22" spans="1:7" ht="11.25" customHeight="1">
      <c r="A22" t="s">
        <v>16</v>
      </c>
      <c r="B22" t="s">
        <v>3542</v>
      </c>
      <c r="C22" t="s">
        <v>3543</v>
      </c>
      <c r="D22" t="s">
        <v>3585</v>
      </c>
      <c r="E22" t="s">
        <v>3586</v>
      </c>
      <c r="F22" t="s">
        <v>3547</v>
      </c>
      <c r="G22" t="s">
        <v>1535</v>
      </c>
    </row>
    <row r="23" spans="1:7" ht="11.25" customHeight="1">
      <c r="A23" t="s">
        <v>16</v>
      </c>
      <c r="B23" t="s">
        <v>3542</v>
      </c>
      <c r="C23" t="s">
        <v>3543</v>
      </c>
      <c r="D23" t="s">
        <v>3587</v>
      </c>
      <c r="E23" t="s">
        <v>3588</v>
      </c>
      <c r="F23" t="s">
        <v>3547</v>
      </c>
      <c r="G23" t="s">
        <v>1542</v>
      </c>
    </row>
    <row r="24" spans="1:7" ht="11.25" customHeight="1">
      <c r="A24" t="s">
        <v>16</v>
      </c>
      <c r="B24" t="s">
        <v>3542</v>
      </c>
      <c r="C24" t="s">
        <v>3543</v>
      </c>
      <c r="D24" t="s">
        <v>3589</v>
      </c>
      <c r="E24" t="s">
        <v>3590</v>
      </c>
      <c r="F24" t="s">
        <v>3547</v>
      </c>
      <c r="G24" t="s">
        <v>1550</v>
      </c>
    </row>
    <row r="25" spans="1:7" ht="11.25" customHeight="1">
      <c r="A25" t="s">
        <v>16</v>
      </c>
      <c r="B25" t="s">
        <v>3591</v>
      </c>
      <c r="C25" t="s">
        <v>3592</v>
      </c>
      <c r="D25" t="s">
        <v>3593</v>
      </c>
      <c r="E25" t="s">
        <v>3594</v>
      </c>
      <c r="F25" t="s">
        <v>3547</v>
      </c>
      <c r="G25" t="s">
        <v>1557</v>
      </c>
    </row>
    <row r="26" spans="1:7" ht="11.25" customHeight="1">
      <c r="A26" t="s">
        <v>16</v>
      </c>
      <c r="B26" t="s">
        <v>3591</v>
      </c>
      <c r="C26" t="s">
        <v>3592</v>
      </c>
      <c r="D26" t="s">
        <v>3591</v>
      </c>
      <c r="E26" t="s">
        <v>3592</v>
      </c>
      <c r="F26" t="s">
        <v>3544</v>
      </c>
      <c r="G26" t="s">
        <v>1561</v>
      </c>
    </row>
    <row r="27" spans="1:7" ht="11.25" customHeight="1">
      <c r="A27" t="s">
        <v>16</v>
      </c>
      <c r="B27" t="s">
        <v>3591</v>
      </c>
      <c r="C27" t="s">
        <v>3592</v>
      </c>
      <c r="D27" t="s">
        <v>3595</v>
      </c>
      <c r="E27" t="s">
        <v>3596</v>
      </c>
      <c r="F27" t="s">
        <v>3547</v>
      </c>
      <c r="G27" t="s">
        <v>1566</v>
      </c>
    </row>
    <row r="28" spans="1:7" ht="11.25" customHeight="1">
      <c r="A28" t="s">
        <v>16</v>
      </c>
      <c r="B28" t="s">
        <v>3591</v>
      </c>
      <c r="C28" t="s">
        <v>3592</v>
      </c>
      <c r="D28" t="s">
        <v>3597</v>
      </c>
      <c r="E28" t="s">
        <v>3598</v>
      </c>
      <c r="F28" t="s">
        <v>3547</v>
      </c>
      <c r="G28" t="s">
        <v>1574</v>
      </c>
    </row>
    <row r="29" spans="1:7" ht="11.25" customHeight="1">
      <c r="A29" t="s">
        <v>16</v>
      </c>
      <c r="B29" t="s">
        <v>3591</v>
      </c>
      <c r="C29" t="s">
        <v>3592</v>
      </c>
      <c r="D29" t="s">
        <v>3599</v>
      </c>
      <c r="E29" t="s">
        <v>3600</v>
      </c>
      <c r="F29" t="s">
        <v>3547</v>
      </c>
      <c r="G29" t="s">
        <v>1576</v>
      </c>
    </row>
    <row r="30" spans="1:7" ht="11.25" customHeight="1">
      <c r="A30" t="s">
        <v>16</v>
      </c>
      <c r="B30" t="s">
        <v>3591</v>
      </c>
      <c r="C30" t="s">
        <v>3592</v>
      </c>
      <c r="D30" t="s">
        <v>3601</v>
      </c>
      <c r="E30" t="s">
        <v>3602</v>
      </c>
      <c r="F30" t="s">
        <v>3547</v>
      </c>
      <c r="G30" t="s">
        <v>1579</v>
      </c>
    </row>
    <row r="31" spans="1:7" ht="11.25" customHeight="1">
      <c r="A31" t="s">
        <v>16</v>
      </c>
      <c r="B31" t="s">
        <v>3591</v>
      </c>
      <c r="C31" t="s">
        <v>3592</v>
      </c>
      <c r="D31" t="s">
        <v>3603</v>
      </c>
      <c r="E31" t="s">
        <v>3604</v>
      </c>
      <c r="F31" t="s">
        <v>3547</v>
      </c>
      <c r="G31" t="s">
        <v>1585</v>
      </c>
    </row>
    <row r="32" spans="1:7" ht="11.25" customHeight="1">
      <c r="A32" t="s">
        <v>16</v>
      </c>
      <c r="B32" t="s">
        <v>3591</v>
      </c>
      <c r="C32" t="s">
        <v>3592</v>
      </c>
      <c r="D32" t="s">
        <v>3605</v>
      </c>
      <c r="E32" t="s">
        <v>3606</v>
      </c>
      <c r="F32" t="s">
        <v>3547</v>
      </c>
      <c r="G32" t="s">
        <v>1587</v>
      </c>
    </row>
    <row r="33" spans="1:7" ht="11.25" customHeight="1">
      <c r="A33" t="s">
        <v>16</v>
      </c>
      <c r="B33" t="s">
        <v>3591</v>
      </c>
      <c r="C33" t="s">
        <v>3592</v>
      </c>
      <c r="D33" t="s">
        <v>3607</v>
      </c>
      <c r="E33" t="s">
        <v>3608</v>
      </c>
      <c r="F33" t="s">
        <v>3552</v>
      </c>
      <c r="G33" t="s">
        <v>1589</v>
      </c>
    </row>
    <row r="34" spans="1:7" ht="11.25" customHeight="1">
      <c r="A34" t="s">
        <v>16</v>
      </c>
      <c r="B34" t="s">
        <v>3591</v>
      </c>
      <c r="C34" t="s">
        <v>3592</v>
      </c>
      <c r="D34" t="s">
        <v>3609</v>
      </c>
      <c r="E34" t="s">
        <v>3610</v>
      </c>
      <c r="F34" t="s">
        <v>3547</v>
      </c>
      <c r="G34" t="s">
        <v>1591</v>
      </c>
    </row>
    <row r="35" spans="1:7" ht="11.25" customHeight="1">
      <c r="A35" t="s">
        <v>16</v>
      </c>
      <c r="B35" t="s">
        <v>3591</v>
      </c>
      <c r="C35" t="s">
        <v>3592</v>
      </c>
      <c r="D35" t="s">
        <v>3611</v>
      </c>
      <c r="E35" t="s">
        <v>3612</v>
      </c>
      <c r="F35" t="s">
        <v>3547</v>
      </c>
      <c r="G35" t="s">
        <v>1596</v>
      </c>
    </row>
    <row r="36" spans="1:7" ht="11.25" customHeight="1">
      <c r="A36" t="s">
        <v>16</v>
      </c>
      <c r="B36" t="s">
        <v>3591</v>
      </c>
      <c r="C36" t="s">
        <v>3592</v>
      </c>
      <c r="D36" t="s">
        <v>3613</v>
      </c>
      <c r="E36" t="s">
        <v>3614</v>
      </c>
      <c r="F36" t="s">
        <v>3547</v>
      </c>
      <c r="G36" t="s">
        <v>1601</v>
      </c>
    </row>
    <row r="37" spans="1:7" ht="11.25" customHeight="1">
      <c r="A37" t="s">
        <v>16</v>
      </c>
      <c r="B37" t="s">
        <v>3591</v>
      </c>
      <c r="C37" t="s">
        <v>3592</v>
      </c>
      <c r="D37" t="s">
        <v>3615</v>
      </c>
      <c r="E37" t="s">
        <v>3616</v>
      </c>
      <c r="F37" t="s">
        <v>3547</v>
      </c>
      <c r="G37" t="s">
        <v>1605</v>
      </c>
    </row>
    <row r="38" spans="1:7" ht="11.25" customHeight="1">
      <c r="A38" t="s">
        <v>16</v>
      </c>
      <c r="B38" t="s">
        <v>3591</v>
      </c>
      <c r="C38" t="s">
        <v>3592</v>
      </c>
      <c r="D38" t="s">
        <v>3617</v>
      </c>
      <c r="E38" t="s">
        <v>3618</v>
      </c>
      <c r="F38" t="s">
        <v>3547</v>
      </c>
      <c r="G38" t="s">
        <v>1613</v>
      </c>
    </row>
    <row r="39" spans="1:7" ht="11.25" customHeight="1">
      <c r="A39" t="s">
        <v>16</v>
      </c>
      <c r="B39" t="s">
        <v>3591</v>
      </c>
      <c r="C39" t="s">
        <v>3592</v>
      </c>
      <c r="D39" t="s">
        <v>3619</v>
      </c>
      <c r="E39" t="s">
        <v>3620</v>
      </c>
      <c r="F39" t="s">
        <v>3547</v>
      </c>
      <c r="G39" t="s">
        <v>1619</v>
      </c>
    </row>
    <row r="40" spans="1:7" ht="11.25" customHeight="1">
      <c r="A40" t="s">
        <v>16</v>
      </c>
      <c r="B40" t="s">
        <v>3591</v>
      </c>
      <c r="C40" t="s">
        <v>3592</v>
      </c>
      <c r="D40" t="s">
        <v>3621</v>
      </c>
      <c r="E40" t="s">
        <v>3622</v>
      </c>
      <c r="F40" t="s">
        <v>3547</v>
      </c>
      <c r="G40" t="s">
        <v>1624</v>
      </c>
    </row>
    <row r="41" spans="1:7" ht="11.25" customHeight="1">
      <c r="A41" t="s">
        <v>16</v>
      </c>
      <c r="B41" t="s">
        <v>3591</v>
      </c>
      <c r="C41" t="s">
        <v>3592</v>
      </c>
      <c r="D41" t="s">
        <v>3623</v>
      </c>
      <c r="E41" t="s">
        <v>3624</v>
      </c>
      <c r="F41" t="s">
        <v>3547</v>
      </c>
      <c r="G41" t="s">
        <v>1628</v>
      </c>
    </row>
    <row r="42" spans="1:7" ht="11.25" customHeight="1">
      <c r="A42" t="s">
        <v>16</v>
      </c>
      <c r="B42" t="s">
        <v>3591</v>
      </c>
      <c r="C42" t="s">
        <v>3592</v>
      </c>
      <c r="D42" t="s">
        <v>3625</v>
      </c>
      <c r="E42" t="s">
        <v>3626</v>
      </c>
      <c r="F42" t="s">
        <v>3547</v>
      </c>
      <c r="G42" t="s">
        <v>1631</v>
      </c>
    </row>
    <row r="43" spans="1:7" ht="11.25" customHeight="1">
      <c r="A43" t="s">
        <v>16</v>
      </c>
      <c r="B43" t="s">
        <v>3591</v>
      </c>
      <c r="C43" t="s">
        <v>3592</v>
      </c>
      <c r="D43" t="s">
        <v>3627</v>
      </c>
      <c r="E43" t="s">
        <v>3628</v>
      </c>
      <c r="F43" t="s">
        <v>3547</v>
      </c>
      <c r="G43" t="s">
        <v>1638</v>
      </c>
    </row>
    <row r="44" spans="1:7" ht="11.25" customHeight="1">
      <c r="A44" t="s">
        <v>16</v>
      </c>
      <c r="B44" t="s">
        <v>3591</v>
      </c>
      <c r="C44" t="s">
        <v>3592</v>
      </c>
      <c r="D44" t="s">
        <v>3629</v>
      </c>
      <c r="E44" t="s">
        <v>3630</v>
      </c>
      <c r="F44" t="s">
        <v>3547</v>
      </c>
      <c r="G44" t="s">
        <v>1647</v>
      </c>
    </row>
    <row r="45" spans="1:7" ht="11.25" customHeight="1">
      <c r="A45" t="s">
        <v>16</v>
      </c>
      <c r="B45" t="s">
        <v>3591</v>
      </c>
      <c r="C45" t="s">
        <v>3592</v>
      </c>
      <c r="D45" t="s">
        <v>3631</v>
      </c>
      <c r="E45" t="s">
        <v>3632</v>
      </c>
      <c r="F45" t="s">
        <v>3547</v>
      </c>
      <c r="G45" t="s">
        <v>1652</v>
      </c>
    </row>
    <row r="46" spans="1:7" ht="11.25" customHeight="1">
      <c r="A46" t="s">
        <v>16</v>
      </c>
      <c r="B46" t="s">
        <v>3591</v>
      </c>
      <c r="C46" t="s">
        <v>3592</v>
      </c>
      <c r="D46" t="s">
        <v>3633</v>
      </c>
      <c r="E46" t="s">
        <v>3634</v>
      </c>
      <c r="F46" t="s">
        <v>3547</v>
      </c>
      <c r="G46" t="s">
        <v>1655</v>
      </c>
    </row>
    <row r="47" spans="1:7" ht="11.25" customHeight="1">
      <c r="A47" t="s">
        <v>16</v>
      </c>
      <c r="B47" t="s">
        <v>3591</v>
      </c>
      <c r="C47" t="s">
        <v>3592</v>
      </c>
      <c r="D47" t="s">
        <v>3635</v>
      </c>
      <c r="E47" t="s">
        <v>3636</v>
      </c>
      <c r="F47" t="s">
        <v>3547</v>
      </c>
      <c r="G47" t="s">
        <v>1661</v>
      </c>
    </row>
    <row r="48" spans="1:7" ht="11.25" customHeight="1">
      <c r="A48" t="s">
        <v>16</v>
      </c>
      <c r="B48" t="s">
        <v>3591</v>
      </c>
      <c r="C48" t="s">
        <v>3592</v>
      </c>
      <c r="D48" t="s">
        <v>3637</v>
      </c>
      <c r="E48" t="s">
        <v>3638</v>
      </c>
      <c r="F48" t="s">
        <v>3547</v>
      </c>
      <c r="G48" t="s">
        <v>1666</v>
      </c>
    </row>
    <row r="49" spans="1:7" ht="11.25" customHeight="1">
      <c r="A49" t="s">
        <v>16</v>
      </c>
      <c r="B49" t="s">
        <v>3591</v>
      </c>
      <c r="C49" t="s">
        <v>3592</v>
      </c>
      <c r="D49" t="s">
        <v>3639</v>
      </c>
      <c r="E49" t="s">
        <v>3640</v>
      </c>
      <c r="F49" t="s">
        <v>3547</v>
      </c>
      <c r="G49" t="s">
        <v>1669</v>
      </c>
    </row>
    <row r="50" spans="1:7" ht="11.25" customHeight="1">
      <c r="A50" t="s">
        <v>16</v>
      </c>
      <c r="B50" t="s">
        <v>3591</v>
      </c>
      <c r="C50" t="s">
        <v>3592</v>
      </c>
      <c r="D50" t="s">
        <v>3641</v>
      </c>
      <c r="E50" t="s">
        <v>3642</v>
      </c>
      <c r="F50" t="s">
        <v>3547</v>
      </c>
      <c r="G50" t="s">
        <v>1673</v>
      </c>
    </row>
    <row r="51" spans="1:7" ht="11.25" customHeight="1">
      <c r="A51" t="s">
        <v>16</v>
      </c>
      <c r="B51" t="s">
        <v>3591</v>
      </c>
      <c r="C51" t="s">
        <v>3592</v>
      </c>
      <c r="D51" t="s">
        <v>3643</v>
      </c>
      <c r="E51" t="s">
        <v>3644</v>
      </c>
      <c r="F51" t="s">
        <v>3547</v>
      </c>
      <c r="G51" t="s">
        <v>1678</v>
      </c>
    </row>
    <row r="52" spans="1:7" ht="11.25" customHeight="1">
      <c r="A52" t="s">
        <v>16</v>
      </c>
      <c r="B52" t="s">
        <v>3591</v>
      </c>
      <c r="C52" t="s">
        <v>3592</v>
      </c>
      <c r="D52" t="s">
        <v>3645</v>
      </c>
      <c r="E52" t="s">
        <v>3646</v>
      </c>
      <c r="F52" t="s">
        <v>3547</v>
      </c>
      <c r="G52" t="s">
        <v>1682</v>
      </c>
    </row>
    <row r="53" spans="1:7" ht="11.25" customHeight="1">
      <c r="A53" t="s">
        <v>16</v>
      </c>
      <c r="B53" t="s">
        <v>3591</v>
      </c>
      <c r="C53" t="s">
        <v>3592</v>
      </c>
      <c r="D53" t="s">
        <v>3647</v>
      </c>
      <c r="E53" t="s">
        <v>3648</v>
      </c>
      <c r="F53" t="s">
        <v>3649</v>
      </c>
      <c r="G53" t="s">
        <v>1684</v>
      </c>
    </row>
    <row r="54" spans="1:7" ht="11.25" customHeight="1">
      <c r="A54" t="s">
        <v>16</v>
      </c>
      <c r="B54" t="s">
        <v>3650</v>
      </c>
      <c r="C54" t="s">
        <v>3651</v>
      </c>
      <c r="D54" t="s">
        <v>3650</v>
      </c>
      <c r="E54" t="s">
        <v>3651</v>
      </c>
      <c r="F54" t="s">
        <v>3544</v>
      </c>
      <c r="G54" t="s">
        <v>1687</v>
      </c>
    </row>
    <row r="55" spans="1:7" ht="11.25" customHeight="1">
      <c r="A55" t="s">
        <v>16</v>
      </c>
      <c r="B55" t="s">
        <v>3650</v>
      </c>
      <c r="C55" t="s">
        <v>3651</v>
      </c>
      <c r="D55" t="s">
        <v>3652</v>
      </c>
      <c r="E55" t="s">
        <v>3653</v>
      </c>
      <c r="F55" t="s">
        <v>3547</v>
      </c>
      <c r="G55" t="s">
        <v>1691</v>
      </c>
    </row>
    <row r="56" spans="1:7" ht="11.25" customHeight="1">
      <c r="A56" t="s">
        <v>16</v>
      </c>
      <c r="B56" t="s">
        <v>3650</v>
      </c>
      <c r="C56" t="s">
        <v>3651</v>
      </c>
      <c r="D56" t="s">
        <v>3654</v>
      </c>
      <c r="E56" t="s">
        <v>3655</v>
      </c>
      <c r="F56" t="s">
        <v>3547</v>
      </c>
      <c r="G56" t="s">
        <v>1694</v>
      </c>
    </row>
    <row r="57" spans="1:7" ht="11.25" customHeight="1">
      <c r="A57" t="s">
        <v>16</v>
      </c>
      <c r="B57" t="s">
        <v>3650</v>
      </c>
      <c r="C57" t="s">
        <v>3651</v>
      </c>
      <c r="D57" t="s">
        <v>3656</v>
      </c>
      <c r="E57" t="s">
        <v>3657</v>
      </c>
      <c r="F57" t="s">
        <v>3547</v>
      </c>
      <c r="G57" t="s">
        <v>1697</v>
      </c>
    </row>
    <row r="58" spans="1:7" ht="11.25" customHeight="1">
      <c r="A58" t="s">
        <v>16</v>
      </c>
      <c r="B58" t="s">
        <v>3650</v>
      </c>
      <c r="C58" t="s">
        <v>3651</v>
      </c>
      <c r="D58" t="s">
        <v>3658</v>
      </c>
      <c r="E58" t="s">
        <v>3659</v>
      </c>
      <c r="F58" t="s">
        <v>3547</v>
      </c>
      <c r="G58" t="s">
        <v>1700</v>
      </c>
    </row>
    <row r="59" spans="1:7" ht="11.25" customHeight="1">
      <c r="A59" t="s">
        <v>16</v>
      </c>
      <c r="B59" t="s">
        <v>3650</v>
      </c>
      <c r="C59" t="s">
        <v>3651</v>
      </c>
      <c r="D59" t="s">
        <v>3660</v>
      </c>
      <c r="E59" t="s">
        <v>3661</v>
      </c>
      <c r="F59" t="s">
        <v>3547</v>
      </c>
      <c r="G59" t="s">
        <v>1704</v>
      </c>
    </row>
    <row r="60" spans="1:7" ht="11.25" customHeight="1">
      <c r="A60" t="s">
        <v>16</v>
      </c>
      <c r="B60" t="s">
        <v>3650</v>
      </c>
      <c r="C60" t="s">
        <v>3651</v>
      </c>
      <c r="D60" t="s">
        <v>3662</v>
      </c>
      <c r="E60" t="s">
        <v>3663</v>
      </c>
      <c r="F60" t="s">
        <v>3547</v>
      </c>
      <c r="G60" t="s">
        <v>1707</v>
      </c>
    </row>
    <row r="61" spans="1:7" ht="11.25" customHeight="1">
      <c r="A61" t="s">
        <v>16</v>
      </c>
      <c r="B61" t="s">
        <v>3650</v>
      </c>
      <c r="C61" t="s">
        <v>3651</v>
      </c>
      <c r="D61" t="s">
        <v>3664</v>
      </c>
      <c r="E61" t="s">
        <v>3665</v>
      </c>
      <c r="F61" t="s">
        <v>3547</v>
      </c>
      <c r="G61" t="s">
        <v>3666</v>
      </c>
    </row>
    <row r="62" spans="1:7" ht="11.25" customHeight="1">
      <c r="A62" t="s">
        <v>16</v>
      </c>
      <c r="B62" t="s">
        <v>3650</v>
      </c>
      <c r="C62" t="s">
        <v>3651</v>
      </c>
      <c r="D62" t="s">
        <v>3667</v>
      </c>
      <c r="E62" t="s">
        <v>3668</v>
      </c>
      <c r="F62" t="s">
        <v>3547</v>
      </c>
      <c r="G62" t="s">
        <v>3669</v>
      </c>
    </row>
    <row r="63" spans="1:7" ht="11.25" customHeight="1">
      <c r="A63" t="s">
        <v>16</v>
      </c>
      <c r="B63" t="s">
        <v>3650</v>
      </c>
      <c r="C63" t="s">
        <v>3651</v>
      </c>
      <c r="D63" t="s">
        <v>3670</v>
      </c>
      <c r="E63" t="s">
        <v>3671</v>
      </c>
      <c r="F63" t="s">
        <v>3547</v>
      </c>
      <c r="G63" t="s">
        <v>3672</v>
      </c>
    </row>
    <row r="64" spans="1:7" ht="11.25" customHeight="1">
      <c r="A64" t="s">
        <v>16</v>
      </c>
      <c r="B64" t="s">
        <v>3650</v>
      </c>
      <c r="C64" t="s">
        <v>3651</v>
      </c>
      <c r="D64" t="s">
        <v>3673</v>
      </c>
      <c r="E64" t="s">
        <v>3674</v>
      </c>
      <c r="F64" t="s">
        <v>3547</v>
      </c>
      <c r="G64" t="s">
        <v>3675</v>
      </c>
    </row>
    <row r="65" spans="1:7" ht="11.25" customHeight="1">
      <c r="A65" t="s">
        <v>16</v>
      </c>
      <c r="B65" t="s">
        <v>3650</v>
      </c>
      <c r="C65" t="s">
        <v>3651</v>
      </c>
      <c r="D65" t="s">
        <v>3676</v>
      </c>
      <c r="E65" t="s">
        <v>3677</v>
      </c>
      <c r="F65" t="s">
        <v>3547</v>
      </c>
      <c r="G65" t="s">
        <v>3678</v>
      </c>
    </row>
    <row r="66" spans="1:7" ht="11.25" customHeight="1">
      <c r="A66" t="s">
        <v>16</v>
      </c>
      <c r="B66" t="s">
        <v>3650</v>
      </c>
      <c r="C66" t="s">
        <v>3651</v>
      </c>
      <c r="D66" t="s">
        <v>3679</v>
      </c>
      <c r="E66" t="s">
        <v>3680</v>
      </c>
      <c r="F66" t="s">
        <v>3547</v>
      </c>
      <c r="G66" t="s">
        <v>3681</v>
      </c>
    </row>
    <row r="67" spans="1:7" ht="11.25" customHeight="1">
      <c r="A67" t="s">
        <v>16</v>
      </c>
      <c r="B67" t="s">
        <v>3650</v>
      </c>
      <c r="C67" t="s">
        <v>3651</v>
      </c>
      <c r="D67" t="s">
        <v>3682</v>
      </c>
      <c r="E67" t="s">
        <v>3683</v>
      </c>
      <c r="F67" t="s">
        <v>3547</v>
      </c>
      <c r="G67" t="s">
        <v>2024</v>
      </c>
    </row>
    <row r="68" spans="1:7" ht="11.25" customHeight="1">
      <c r="A68" t="s">
        <v>16</v>
      </c>
      <c r="B68" t="s">
        <v>3650</v>
      </c>
      <c r="C68" t="s">
        <v>3651</v>
      </c>
      <c r="D68" t="s">
        <v>3684</v>
      </c>
      <c r="E68" t="s">
        <v>3685</v>
      </c>
      <c r="F68" t="s">
        <v>3547</v>
      </c>
      <c r="G68" t="s">
        <v>3686</v>
      </c>
    </row>
    <row r="69" spans="1:7" ht="11.25" customHeight="1">
      <c r="A69" t="s">
        <v>16</v>
      </c>
      <c r="B69" t="s">
        <v>3650</v>
      </c>
      <c r="C69" t="s">
        <v>3651</v>
      </c>
      <c r="D69" t="s">
        <v>3687</v>
      </c>
      <c r="E69" t="s">
        <v>3688</v>
      </c>
      <c r="F69" t="s">
        <v>3547</v>
      </c>
      <c r="G69" t="s">
        <v>2227</v>
      </c>
    </row>
    <row r="70" spans="1:7" ht="11.25" customHeight="1">
      <c r="A70" t="s">
        <v>16</v>
      </c>
      <c r="B70" t="s">
        <v>3650</v>
      </c>
      <c r="C70" t="s">
        <v>3651</v>
      </c>
      <c r="D70" t="s">
        <v>3689</v>
      </c>
      <c r="E70" t="s">
        <v>3690</v>
      </c>
      <c r="F70" t="s">
        <v>3547</v>
      </c>
      <c r="G70" t="s">
        <v>3691</v>
      </c>
    </row>
    <row r="71" spans="1:7" ht="11.25" customHeight="1">
      <c r="A71" t="s">
        <v>16</v>
      </c>
      <c r="B71" t="s">
        <v>3650</v>
      </c>
      <c r="C71" t="s">
        <v>3651</v>
      </c>
      <c r="D71" t="s">
        <v>3692</v>
      </c>
      <c r="E71" t="s">
        <v>3693</v>
      </c>
      <c r="F71" t="s">
        <v>3547</v>
      </c>
      <c r="G71" t="s">
        <v>3694</v>
      </c>
    </row>
    <row r="72" spans="1:7" ht="11.25" customHeight="1">
      <c r="A72" t="s">
        <v>16</v>
      </c>
      <c r="B72" t="s">
        <v>3650</v>
      </c>
      <c r="C72" t="s">
        <v>3651</v>
      </c>
      <c r="D72" t="s">
        <v>3695</v>
      </c>
      <c r="E72" t="s">
        <v>3696</v>
      </c>
      <c r="F72" t="s">
        <v>3547</v>
      </c>
      <c r="G72" t="s">
        <v>3697</v>
      </c>
    </row>
    <row r="73" spans="1:7" ht="11.25" customHeight="1">
      <c r="A73" t="s">
        <v>16</v>
      </c>
      <c r="B73" t="s">
        <v>3650</v>
      </c>
      <c r="C73" t="s">
        <v>3651</v>
      </c>
      <c r="D73" t="s">
        <v>3698</v>
      </c>
      <c r="E73" t="s">
        <v>3699</v>
      </c>
      <c r="F73" t="s">
        <v>3547</v>
      </c>
      <c r="G73" t="s">
        <v>3700</v>
      </c>
    </row>
    <row r="74" spans="1:7" ht="11.25" customHeight="1">
      <c r="A74" t="s">
        <v>16</v>
      </c>
      <c r="B74" t="s">
        <v>3650</v>
      </c>
      <c r="C74" t="s">
        <v>3651</v>
      </c>
      <c r="D74" t="s">
        <v>3701</v>
      </c>
      <c r="E74" t="s">
        <v>3702</v>
      </c>
      <c r="F74" t="s">
        <v>3547</v>
      </c>
      <c r="G74" t="s">
        <v>3703</v>
      </c>
    </row>
    <row r="75" spans="1:7" ht="11.25" customHeight="1">
      <c r="A75" t="s">
        <v>16</v>
      </c>
      <c r="B75" t="s">
        <v>3650</v>
      </c>
      <c r="C75" t="s">
        <v>3651</v>
      </c>
      <c r="D75" t="s">
        <v>3704</v>
      </c>
      <c r="E75" t="s">
        <v>3705</v>
      </c>
      <c r="F75" t="s">
        <v>3649</v>
      </c>
      <c r="G75" t="s">
        <v>3706</v>
      </c>
    </row>
    <row r="76" spans="1:7" ht="11.25" customHeight="1">
      <c r="A76" t="s">
        <v>16</v>
      </c>
      <c r="B76" t="s">
        <v>3707</v>
      </c>
      <c r="C76" t="s">
        <v>3708</v>
      </c>
      <c r="D76" t="s">
        <v>3709</v>
      </c>
      <c r="E76" t="s">
        <v>3710</v>
      </c>
      <c r="F76" t="s">
        <v>3547</v>
      </c>
      <c r="G76" t="s">
        <v>3711</v>
      </c>
    </row>
    <row r="77" spans="1:7" ht="11.25" customHeight="1">
      <c r="A77" t="s">
        <v>16</v>
      </c>
      <c r="B77" t="s">
        <v>3707</v>
      </c>
      <c r="C77" t="s">
        <v>3708</v>
      </c>
      <c r="D77" t="s">
        <v>3712</v>
      </c>
      <c r="E77" t="s">
        <v>3713</v>
      </c>
      <c r="F77" t="s">
        <v>3547</v>
      </c>
      <c r="G77" t="s">
        <v>3714</v>
      </c>
    </row>
    <row r="78" spans="1:7" ht="11.25" customHeight="1">
      <c r="A78" t="s">
        <v>16</v>
      </c>
      <c r="B78" t="s">
        <v>3707</v>
      </c>
      <c r="C78" t="s">
        <v>3708</v>
      </c>
      <c r="D78" t="s">
        <v>3715</v>
      </c>
      <c r="E78" t="s">
        <v>3716</v>
      </c>
      <c r="F78" t="s">
        <v>3547</v>
      </c>
      <c r="G78" t="s">
        <v>3717</v>
      </c>
    </row>
    <row r="79" spans="1:7" ht="11.25" customHeight="1">
      <c r="A79" t="s">
        <v>16</v>
      </c>
      <c r="B79" t="s">
        <v>3707</v>
      </c>
      <c r="C79" t="s">
        <v>3708</v>
      </c>
      <c r="D79" t="s">
        <v>3707</v>
      </c>
      <c r="E79" t="s">
        <v>3708</v>
      </c>
      <c r="F79" t="s">
        <v>3544</v>
      </c>
      <c r="G79" t="s">
        <v>3718</v>
      </c>
    </row>
    <row r="80" spans="1:7" ht="11.25" customHeight="1">
      <c r="A80" t="s">
        <v>16</v>
      </c>
      <c r="B80" t="s">
        <v>3707</v>
      </c>
      <c r="C80" t="s">
        <v>3708</v>
      </c>
      <c r="D80" t="s">
        <v>3719</v>
      </c>
      <c r="E80" t="s">
        <v>3720</v>
      </c>
      <c r="F80" t="s">
        <v>3547</v>
      </c>
      <c r="G80" t="s">
        <v>3721</v>
      </c>
    </row>
    <row r="81" spans="1:7" ht="11.25" customHeight="1">
      <c r="A81" t="s">
        <v>16</v>
      </c>
      <c r="B81" t="s">
        <v>3707</v>
      </c>
      <c r="C81" t="s">
        <v>3708</v>
      </c>
      <c r="D81" t="s">
        <v>3722</v>
      </c>
      <c r="E81" t="s">
        <v>3723</v>
      </c>
      <c r="F81" t="s">
        <v>3547</v>
      </c>
      <c r="G81" t="s">
        <v>3724</v>
      </c>
    </row>
    <row r="82" spans="1:7" ht="11.25" customHeight="1">
      <c r="A82" t="s">
        <v>16</v>
      </c>
      <c r="B82" t="s">
        <v>3707</v>
      </c>
      <c r="C82" t="s">
        <v>3708</v>
      </c>
      <c r="D82" t="s">
        <v>3725</v>
      </c>
      <c r="E82" t="s">
        <v>3726</v>
      </c>
      <c r="F82" t="s">
        <v>3547</v>
      </c>
      <c r="G82" t="s">
        <v>3727</v>
      </c>
    </row>
    <row r="83" spans="1:7" ht="11.25" customHeight="1">
      <c r="A83" t="s">
        <v>16</v>
      </c>
      <c r="B83" t="s">
        <v>3707</v>
      </c>
      <c r="C83" t="s">
        <v>3708</v>
      </c>
      <c r="D83" t="s">
        <v>3728</v>
      </c>
      <c r="E83" t="s">
        <v>3729</v>
      </c>
      <c r="F83" t="s">
        <v>3547</v>
      </c>
      <c r="G83" t="s">
        <v>3730</v>
      </c>
    </row>
    <row r="84" spans="1:7" ht="11.25" customHeight="1">
      <c r="A84" t="s">
        <v>16</v>
      </c>
      <c r="B84" t="s">
        <v>3707</v>
      </c>
      <c r="C84" t="s">
        <v>3708</v>
      </c>
      <c r="D84" t="s">
        <v>3731</v>
      </c>
      <c r="E84" t="s">
        <v>3732</v>
      </c>
      <c r="F84" t="s">
        <v>3547</v>
      </c>
      <c r="G84" t="s">
        <v>3733</v>
      </c>
    </row>
    <row r="85" spans="1:7" ht="11.25" customHeight="1">
      <c r="A85" t="s">
        <v>16</v>
      </c>
      <c r="B85" t="s">
        <v>3707</v>
      </c>
      <c r="C85" t="s">
        <v>3708</v>
      </c>
      <c r="D85" t="s">
        <v>3734</v>
      </c>
      <c r="E85" t="s">
        <v>3735</v>
      </c>
      <c r="F85" t="s">
        <v>3547</v>
      </c>
      <c r="G85" t="s">
        <v>3736</v>
      </c>
    </row>
    <row r="86" spans="1:7" ht="11.25" customHeight="1">
      <c r="A86" t="s">
        <v>16</v>
      </c>
      <c r="B86" t="s">
        <v>3707</v>
      </c>
      <c r="C86" t="s">
        <v>3708</v>
      </c>
      <c r="D86" t="s">
        <v>3737</v>
      </c>
      <c r="E86" t="s">
        <v>3738</v>
      </c>
      <c r="F86" t="s">
        <v>3547</v>
      </c>
      <c r="G86" t="s">
        <v>3739</v>
      </c>
    </row>
    <row r="87" spans="1:7" ht="11.25" customHeight="1">
      <c r="A87" t="s">
        <v>16</v>
      </c>
      <c r="B87" t="s">
        <v>3707</v>
      </c>
      <c r="C87" t="s">
        <v>3708</v>
      </c>
      <c r="D87" t="s">
        <v>3740</v>
      </c>
      <c r="E87" t="s">
        <v>3741</v>
      </c>
      <c r="F87" t="s">
        <v>3547</v>
      </c>
      <c r="G87" t="s">
        <v>3742</v>
      </c>
    </row>
    <row r="88" spans="1:7" ht="11.25" customHeight="1">
      <c r="A88" t="s">
        <v>16</v>
      </c>
      <c r="B88" t="s">
        <v>3707</v>
      </c>
      <c r="C88" t="s">
        <v>3708</v>
      </c>
      <c r="D88" t="s">
        <v>3743</v>
      </c>
      <c r="E88" t="s">
        <v>3744</v>
      </c>
      <c r="F88" t="s">
        <v>3547</v>
      </c>
      <c r="G88" t="s">
        <v>3745</v>
      </c>
    </row>
    <row r="89" spans="1:7" ht="11.25" customHeight="1">
      <c r="A89" t="s">
        <v>16</v>
      </c>
      <c r="B89" t="s">
        <v>3707</v>
      </c>
      <c r="C89" t="s">
        <v>3708</v>
      </c>
      <c r="D89" t="s">
        <v>3746</v>
      </c>
      <c r="E89" t="s">
        <v>3747</v>
      </c>
      <c r="F89" t="s">
        <v>3547</v>
      </c>
      <c r="G89" t="s">
        <v>3748</v>
      </c>
    </row>
    <row r="90" spans="1:7" ht="11.25" customHeight="1">
      <c r="A90" t="s">
        <v>16</v>
      </c>
      <c r="B90" t="s">
        <v>3707</v>
      </c>
      <c r="C90" t="s">
        <v>3708</v>
      </c>
      <c r="D90" t="s">
        <v>3749</v>
      </c>
      <c r="E90" t="s">
        <v>3750</v>
      </c>
      <c r="F90" t="s">
        <v>3547</v>
      </c>
      <c r="G90" t="s">
        <v>3751</v>
      </c>
    </row>
    <row r="91" spans="1:7" ht="11.25" customHeight="1">
      <c r="A91" t="s">
        <v>16</v>
      </c>
      <c r="B91" t="s">
        <v>3707</v>
      </c>
      <c r="C91" t="s">
        <v>3708</v>
      </c>
      <c r="D91" t="s">
        <v>3752</v>
      </c>
      <c r="E91" t="s">
        <v>3753</v>
      </c>
      <c r="F91" t="s">
        <v>3547</v>
      </c>
      <c r="G91" t="s">
        <v>3754</v>
      </c>
    </row>
    <row r="92" spans="1:7" ht="11.25" customHeight="1">
      <c r="A92" t="s">
        <v>16</v>
      </c>
      <c r="B92" t="s">
        <v>3707</v>
      </c>
      <c r="C92" t="s">
        <v>3708</v>
      </c>
      <c r="D92" t="s">
        <v>3755</v>
      </c>
      <c r="E92" t="s">
        <v>3756</v>
      </c>
      <c r="F92" t="s">
        <v>3547</v>
      </c>
      <c r="G92" t="s">
        <v>3757</v>
      </c>
    </row>
    <row r="93" spans="1:7" ht="11.25" customHeight="1">
      <c r="A93" t="s">
        <v>16</v>
      </c>
      <c r="B93" t="s">
        <v>3707</v>
      </c>
      <c r="C93" t="s">
        <v>3708</v>
      </c>
      <c r="D93" t="s">
        <v>3758</v>
      </c>
      <c r="E93" t="s">
        <v>3759</v>
      </c>
      <c r="F93" t="s">
        <v>3547</v>
      </c>
      <c r="G93" t="s">
        <v>3760</v>
      </c>
    </row>
    <row r="94" spans="1:7" ht="11.25" customHeight="1">
      <c r="A94" t="s">
        <v>16</v>
      </c>
      <c r="B94" t="s">
        <v>3707</v>
      </c>
      <c r="C94" t="s">
        <v>3708</v>
      </c>
      <c r="D94" t="s">
        <v>3761</v>
      </c>
      <c r="E94" t="s">
        <v>3762</v>
      </c>
      <c r="F94" t="s">
        <v>3547</v>
      </c>
      <c r="G94" t="s">
        <v>3763</v>
      </c>
    </row>
    <row r="95" spans="1:7" ht="11.25" customHeight="1">
      <c r="A95" t="s">
        <v>16</v>
      </c>
      <c r="B95" t="s">
        <v>3707</v>
      </c>
      <c r="C95" t="s">
        <v>3708</v>
      </c>
      <c r="D95" t="s">
        <v>3764</v>
      </c>
      <c r="E95" t="s">
        <v>3765</v>
      </c>
      <c r="F95" t="s">
        <v>3547</v>
      </c>
      <c r="G95" t="s">
        <v>3766</v>
      </c>
    </row>
    <row r="96" spans="1:7" ht="11.25" customHeight="1">
      <c r="A96" t="s">
        <v>16</v>
      </c>
      <c r="B96" t="s">
        <v>3707</v>
      </c>
      <c r="C96" t="s">
        <v>3708</v>
      </c>
      <c r="D96" t="s">
        <v>3767</v>
      </c>
      <c r="E96" t="s">
        <v>3768</v>
      </c>
      <c r="F96" t="s">
        <v>3547</v>
      </c>
      <c r="G96" t="s">
        <v>3769</v>
      </c>
    </row>
    <row r="97" spans="1:7" ht="11.25" customHeight="1">
      <c r="A97" t="s">
        <v>16</v>
      </c>
      <c r="B97" t="s">
        <v>3707</v>
      </c>
      <c r="C97" t="s">
        <v>3708</v>
      </c>
      <c r="D97" t="s">
        <v>3770</v>
      </c>
      <c r="E97" t="s">
        <v>3771</v>
      </c>
      <c r="F97" t="s">
        <v>3547</v>
      </c>
      <c r="G97" t="s">
        <v>3772</v>
      </c>
    </row>
    <row r="98" spans="1:7" ht="11.25" customHeight="1">
      <c r="A98" t="s">
        <v>16</v>
      </c>
      <c r="B98" t="s">
        <v>3707</v>
      </c>
      <c r="C98" t="s">
        <v>3708</v>
      </c>
      <c r="D98" t="s">
        <v>3773</v>
      </c>
      <c r="E98" t="s">
        <v>3774</v>
      </c>
      <c r="F98" t="s">
        <v>3547</v>
      </c>
      <c r="G98" t="s">
        <v>3775</v>
      </c>
    </row>
    <row r="99" spans="1:7" ht="11.25" customHeight="1">
      <c r="A99" t="s">
        <v>16</v>
      </c>
      <c r="B99" t="s">
        <v>3707</v>
      </c>
      <c r="C99" t="s">
        <v>3708</v>
      </c>
      <c r="D99" t="s">
        <v>3633</v>
      </c>
      <c r="E99" t="s">
        <v>3776</v>
      </c>
      <c r="F99" t="s">
        <v>3547</v>
      </c>
      <c r="G99" t="s">
        <v>3777</v>
      </c>
    </row>
    <row r="100" spans="1:7" ht="11.25" customHeight="1">
      <c r="A100" t="s">
        <v>16</v>
      </c>
      <c r="B100" t="s">
        <v>3707</v>
      </c>
      <c r="C100" t="s">
        <v>3708</v>
      </c>
      <c r="D100" t="s">
        <v>3778</v>
      </c>
      <c r="E100" t="s">
        <v>3779</v>
      </c>
      <c r="F100" t="s">
        <v>3547</v>
      </c>
      <c r="G100" t="s">
        <v>3780</v>
      </c>
    </row>
    <row r="101" spans="1:7" ht="11.25" customHeight="1">
      <c r="A101" t="s">
        <v>16</v>
      </c>
      <c r="B101" t="s">
        <v>3707</v>
      </c>
      <c r="C101" t="s">
        <v>3708</v>
      </c>
      <c r="D101" t="s">
        <v>3781</v>
      </c>
      <c r="E101" t="s">
        <v>3782</v>
      </c>
      <c r="F101" t="s">
        <v>3547</v>
      </c>
      <c r="G101" t="s">
        <v>3783</v>
      </c>
    </row>
    <row r="102" spans="1:7" ht="11.25" customHeight="1">
      <c r="A102" t="s">
        <v>16</v>
      </c>
      <c r="B102" t="s">
        <v>3707</v>
      </c>
      <c r="C102" t="s">
        <v>3708</v>
      </c>
      <c r="D102" t="s">
        <v>3784</v>
      </c>
      <c r="E102" t="s">
        <v>3785</v>
      </c>
      <c r="F102" t="s">
        <v>3547</v>
      </c>
      <c r="G102" t="s">
        <v>3786</v>
      </c>
    </row>
    <row r="103" spans="1:7" ht="11.25" customHeight="1">
      <c r="A103" t="s">
        <v>16</v>
      </c>
      <c r="B103" t="s">
        <v>3787</v>
      </c>
      <c r="C103" t="s">
        <v>3788</v>
      </c>
      <c r="D103" t="s">
        <v>3787</v>
      </c>
      <c r="E103" t="s">
        <v>3788</v>
      </c>
      <c r="F103" t="s">
        <v>3544</v>
      </c>
      <c r="G103" t="s">
        <v>3789</v>
      </c>
    </row>
    <row r="104" spans="1:7" ht="11.25" customHeight="1">
      <c r="A104" t="s">
        <v>16</v>
      </c>
      <c r="B104" t="s">
        <v>3787</v>
      </c>
      <c r="C104" t="s">
        <v>3788</v>
      </c>
      <c r="D104" t="s">
        <v>3790</v>
      </c>
      <c r="E104" t="s">
        <v>3791</v>
      </c>
      <c r="F104" t="s">
        <v>3547</v>
      </c>
      <c r="G104" t="s">
        <v>3792</v>
      </c>
    </row>
    <row r="105" spans="1:7" ht="11.25" customHeight="1">
      <c r="A105" t="s">
        <v>16</v>
      </c>
      <c r="B105" t="s">
        <v>3787</v>
      </c>
      <c r="C105" t="s">
        <v>3788</v>
      </c>
      <c r="D105" t="s">
        <v>3793</v>
      </c>
      <c r="E105" t="s">
        <v>3794</v>
      </c>
      <c r="F105" t="s">
        <v>3547</v>
      </c>
      <c r="G105" t="s">
        <v>3795</v>
      </c>
    </row>
    <row r="106" spans="1:7" ht="11.25" customHeight="1">
      <c r="A106" t="s">
        <v>16</v>
      </c>
      <c r="B106" t="s">
        <v>3787</v>
      </c>
      <c r="C106" t="s">
        <v>3788</v>
      </c>
      <c r="D106" t="s">
        <v>3796</v>
      </c>
      <c r="E106" t="s">
        <v>3797</v>
      </c>
      <c r="F106" t="s">
        <v>3547</v>
      </c>
      <c r="G106" t="s">
        <v>3798</v>
      </c>
    </row>
    <row r="107" spans="1:7" ht="11.25" customHeight="1">
      <c r="A107" t="s">
        <v>16</v>
      </c>
      <c r="B107" t="s">
        <v>3787</v>
      </c>
      <c r="C107" t="s">
        <v>3788</v>
      </c>
      <c r="D107" t="s">
        <v>3799</v>
      </c>
      <c r="E107" t="s">
        <v>3800</v>
      </c>
      <c r="F107" t="s">
        <v>3547</v>
      </c>
      <c r="G107" t="s">
        <v>3801</v>
      </c>
    </row>
    <row r="108" spans="1:7" ht="11.25" customHeight="1">
      <c r="A108" t="s">
        <v>16</v>
      </c>
      <c r="B108" t="s">
        <v>3787</v>
      </c>
      <c r="C108" t="s">
        <v>3788</v>
      </c>
      <c r="D108" t="s">
        <v>3802</v>
      </c>
      <c r="E108" t="s">
        <v>3803</v>
      </c>
      <c r="F108" t="s">
        <v>3547</v>
      </c>
      <c r="G108" t="s">
        <v>3804</v>
      </c>
    </row>
    <row r="109" spans="1:7" ht="11.25" customHeight="1">
      <c r="A109" t="s">
        <v>16</v>
      </c>
      <c r="B109" t="s">
        <v>3787</v>
      </c>
      <c r="C109" t="s">
        <v>3788</v>
      </c>
      <c r="D109" t="s">
        <v>3805</v>
      </c>
      <c r="E109" t="s">
        <v>3806</v>
      </c>
      <c r="F109" t="s">
        <v>3547</v>
      </c>
      <c r="G109" t="s">
        <v>3807</v>
      </c>
    </row>
    <row r="110" spans="1:7" ht="11.25" customHeight="1">
      <c r="A110" t="s">
        <v>16</v>
      </c>
      <c r="B110" t="s">
        <v>3787</v>
      </c>
      <c r="C110" t="s">
        <v>3788</v>
      </c>
      <c r="D110" t="s">
        <v>3808</v>
      </c>
      <c r="E110" t="s">
        <v>3809</v>
      </c>
      <c r="F110" t="s">
        <v>3547</v>
      </c>
      <c r="G110" t="s">
        <v>3810</v>
      </c>
    </row>
    <row r="111" spans="1:7" ht="11.25" customHeight="1">
      <c r="A111" t="s">
        <v>16</v>
      </c>
      <c r="B111" t="s">
        <v>3787</v>
      </c>
      <c r="C111" t="s">
        <v>3788</v>
      </c>
      <c r="D111" t="s">
        <v>3811</v>
      </c>
      <c r="E111" t="s">
        <v>3812</v>
      </c>
      <c r="F111" t="s">
        <v>3547</v>
      </c>
      <c r="G111" t="s">
        <v>3813</v>
      </c>
    </row>
    <row r="112" spans="1:7" ht="11.25" customHeight="1">
      <c r="A112" t="s">
        <v>16</v>
      </c>
      <c r="B112" t="s">
        <v>3787</v>
      </c>
      <c r="C112" t="s">
        <v>3788</v>
      </c>
      <c r="D112" t="s">
        <v>3814</v>
      </c>
      <c r="E112" t="s">
        <v>3815</v>
      </c>
      <c r="F112" t="s">
        <v>3547</v>
      </c>
      <c r="G112" t="s">
        <v>3816</v>
      </c>
    </row>
    <row r="113" spans="1:7" ht="11.25" customHeight="1">
      <c r="A113" t="s">
        <v>16</v>
      </c>
      <c r="B113" t="s">
        <v>3787</v>
      </c>
      <c r="C113" t="s">
        <v>3788</v>
      </c>
      <c r="D113" t="s">
        <v>3817</v>
      </c>
      <c r="E113" t="s">
        <v>3818</v>
      </c>
      <c r="F113" t="s">
        <v>3547</v>
      </c>
      <c r="G113" t="s">
        <v>3819</v>
      </c>
    </row>
    <row r="114" spans="1:7" ht="11.25" customHeight="1">
      <c r="A114" t="s">
        <v>16</v>
      </c>
      <c r="B114" t="s">
        <v>3787</v>
      </c>
      <c r="C114" t="s">
        <v>3788</v>
      </c>
      <c r="D114" t="s">
        <v>3820</v>
      </c>
      <c r="E114" t="s">
        <v>3821</v>
      </c>
      <c r="F114" t="s">
        <v>3547</v>
      </c>
      <c r="G114" t="s">
        <v>3822</v>
      </c>
    </row>
    <row r="115" spans="1:7" ht="11.25" customHeight="1">
      <c r="A115" t="s">
        <v>16</v>
      </c>
      <c r="B115" t="s">
        <v>3787</v>
      </c>
      <c r="C115" t="s">
        <v>3788</v>
      </c>
      <c r="D115" t="s">
        <v>3823</v>
      </c>
      <c r="E115" t="s">
        <v>3824</v>
      </c>
      <c r="F115" t="s">
        <v>3547</v>
      </c>
      <c r="G115" t="s">
        <v>3825</v>
      </c>
    </row>
    <row r="116" spans="1:7" ht="11.25" customHeight="1">
      <c r="A116" t="s">
        <v>16</v>
      </c>
      <c r="B116" t="s">
        <v>3787</v>
      </c>
      <c r="C116" t="s">
        <v>3788</v>
      </c>
      <c r="D116" t="s">
        <v>3826</v>
      </c>
      <c r="E116" t="s">
        <v>3827</v>
      </c>
      <c r="F116" t="s">
        <v>3547</v>
      </c>
      <c r="G116" t="s">
        <v>3828</v>
      </c>
    </row>
    <row r="117" spans="1:7" ht="11.25" customHeight="1">
      <c r="A117" t="s">
        <v>16</v>
      </c>
      <c r="B117" t="s">
        <v>3787</v>
      </c>
      <c r="C117" t="s">
        <v>3788</v>
      </c>
      <c r="D117" t="s">
        <v>3829</v>
      </c>
      <c r="E117" t="s">
        <v>3830</v>
      </c>
      <c r="F117" t="s">
        <v>3547</v>
      </c>
      <c r="G117" t="s">
        <v>3831</v>
      </c>
    </row>
    <row r="118" spans="1:7" ht="11.25" customHeight="1">
      <c r="A118" t="s">
        <v>16</v>
      </c>
      <c r="B118" t="s">
        <v>3787</v>
      </c>
      <c r="C118" t="s">
        <v>3788</v>
      </c>
      <c r="D118" t="s">
        <v>3832</v>
      </c>
      <c r="E118" t="s">
        <v>3833</v>
      </c>
      <c r="F118" t="s">
        <v>3547</v>
      </c>
      <c r="G118" t="s">
        <v>3834</v>
      </c>
    </row>
    <row r="119" spans="1:7" ht="11.25" customHeight="1">
      <c r="A119" t="s">
        <v>16</v>
      </c>
      <c r="B119" t="s">
        <v>3787</v>
      </c>
      <c r="C119" t="s">
        <v>3788</v>
      </c>
      <c r="D119" t="s">
        <v>3835</v>
      </c>
      <c r="E119" t="s">
        <v>3836</v>
      </c>
      <c r="F119" t="s">
        <v>3547</v>
      </c>
      <c r="G119" t="s">
        <v>3837</v>
      </c>
    </row>
    <row r="120" spans="1:7" ht="11.25" customHeight="1">
      <c r="A120" t="s">
        <v>16</v>
      </c>
      <c r="B120" t="s">
        <v>3787</v>
      </c>
      <c r="C120" t="s">
        <v>3788</v>
      </c>
      <c r="D120" t="s">
        <v>3838</v>
      </c>
      <c r="E120" t="s">
        <v>3839</v>
      </c>
      <c r="F120" t="s">
        <v>3547</v>
      </c>
      <c r="G120" t="s">
        <v>3840</v>
      </c>
    </row>
    <row r="121" spans="1:7" ht="11.25" customHeight="1">
      <c r="A121" t="s">
        <v>16</v>
      </c>
      <c r="B121" t="s">
        <v>3787</v>
      </c>
      <c r="C121" t="s">
        <v>3788</v>
      </c>
      <c r="D121" t="s">
        <v>3841</v>
      </c>
      <c r="E121" t="s">
        <v>3842</v>
      </c>
      <c r="F121" t="s">
        <v>3547</v>
      </c>
      <c r="G121" t="s">
        <v>3843</v>
      </c>
    </row>
    <row r="122" spans="1:7" ht="11.25" customHeight="1">
      <c r="A122" t="s">
        <v>16</v>
      </c>
      <c r="B122" t="s">
        <v>3787</v>
      </c>
      <c r="C122" t="s">
        <v>3788</v>
      </c>
      <c r="D122" t="s">
        <v>3844</v>
      </c>
      <c r="E122" t="s">
        <v>3845</v>
      </c>
      <c r="F122" t="s">
        <v>3547</v>
      </c>
      <c r="G122" t="s">
        <v>3846</v>
      </c>
    </row>
    <row r="123" spans="1:7" ht="11.25" customHeight="1">
      <c r="A123" t="s">
        <v>16</v>
      </c>
      <c r="B123" t="s">
        <v>3787</v>
      </c>
      <c r="C123" t="s">
        <v>3788</v>
      </c>
      <c r="D123" t="s">
        <v>3847</v>
      </c>
      <c r="E123" t="s">
        <v>3848</v>
      </c>
      <c r="F123" t="s">
        <v>3649</v>
      </c>
      <c r="G123" t="s">
        <v>3849</v>
      </c>
    </row>
    <row r="124" spans="1:7" ht="11.25" customHeight="1">
      <c r="A124" t="s">
        <v>16</v>
      </c>
      <c r="B124" t="s">
        <v>3850</v>
      </c>
      <c r="C124" t="s">
        <v>3851</v>
      </c>
      <c r="D124" t="s">
        <v>3850</v>
      </c>
      <c r="E124" t="s">
        <v>3851</v>
      </c>
      <c r="F124" t="s">
        <v>3544</v>
      </c>
      <c r="G124" t="s">
        <v>3852</v>
      </c>
    </row>
    <row r="125" spans="1:7" ht="11.25" customHeight="1">
      <c r="A125" t="s">
        <v>16</v>
      </c>
      <c r="B125" t="s">
        <v>3850</v>
      </c>
      <c r="C125" t="s">
        <v>3851</v>
      </c>
      <c r="D125" t="s">
        <v>3853</v>
      </c>
      <c r="E125" t="s">
        <v>3854</v>
      </c>
      <c r="F125" t="s">
        <v>3547</v>
      </c>
      <c r="G125" t="s">
        <v>3855</v>
      </c>
    </row>
    <row r="126" spans="1:7" ht="11.25" customHeight="1">
      <c r="A126" t="s">
        <v>16</v>
      </c>
      <c r="B126" t="s">
        <v>3850</v>
      </c>
      <c r="C126" t="s">
        <v>3851</v>
      </c>
      <c r="D126" t="s">
        <v>3856</v>
      </c>
      <c r="E126" t="s">
        <v>3857</v>
      </c>
      <c r="F126" t="s">
        <v>3547</v>
      </c>
      <c r="G126" t="s">
        <v>3858</v>
      </c>
    </row>
    <row r="127" spans="1:7" ht="11.25" customHeight="1">
      <c r="A127" t="s">
        <v>16</v>
      </c>
      <c r="B127" t="s">
        <v>3850</v>
      </c>
      <c r="C127" t="s">
        <v>3851</v>
      </c>
      <c r="D127" t="s">
        <v>3859</v>
      </c>
      <c r="E127" t="s">
        <v>3860</v>
      </c>
      <c r="F127" t="s">
        <v>3547</v>
      </c>
      <c r="G127" t="s">
        <v>3861</v>
      </c>
    </row>
    <row r="128" spans="1:7" ht="11.25" customHeight="1">
      <c r="A128" t="s">
        <v>16</v>
      </c>
      <c r="B128" t="s">
        <v>3850</v>
      </c>
      <c r="C128" t="s">
        <v>3851</v>
      </c>
      <c r="D128" t="s">
        <v>3862</v>
      </c>
      <c r="E128" t="s">
        <v>3863</v>
      </c>
      <c r="F128" t="s">
        <v>3547</v>
      </c>
      <c r="G128" t="s">
        <v>3864</v>
      </c>
    </row>
    <row r="129" spans="1:7" ht="11.25" customHeight="1">
      <c r="A129" t="s">
        <v>16</v>
      </c>
      <c r="B129" t="s">
        <v>3850</v>
      </c>
      <c r="C129" t="s">
        <v>3851</v>
      </c>
      <c r="D129" t="s">
        <v>3865</v>
      </c>
      <c r="E129" t="s">
        <v>3866</v>
      </c>
      <c r="F129" t="s">
        <v>3547</v>
      </c>
      <c r="G129" t="s">
        <v>3867</v>
      </c>
    </row>
    <row r="130" spans="1:7" ht="11.25" customHeight="1">
      <c r="A130" t="s">
        <v>16</v>
      </c>
      <c r="B130" t="s">
        <v>3850</v>
      </c>
      <c r="C130" t="s">
        <v>3851</v>
      </c>
      <c r="D130" t="s">
        <v>3868</v>
      </c>
      <c r="E130" t="s">
        <v>3869</v>
      </c>
      <c r="F130" t="s">
        <v>3547</v>
      </c>
      <c r="G130" t="s">
        <v>3870</v>
      </c>
    </row>
    <row r="131" spans="1:7" ht="11.25" customHeight="1">
      <c r="A131" t="s">
        <v>16</v>
      </c>
      <c r="B131" t="s">
        <v>3850</v>
      </c>
      <c r="C131" t="s">
        <v>3851</v>
      </c>
      <c r="D131" t="s">
        <v>3871</v>
      </c>
      <c r="E131" t="s">
        <v>3872</v>
      </c>
      <c r="F131" t="s">
        <v>3547</v>
      </c>
      <c r="G131" t="s">
        <v>3873</v>
      </c>
    </row>
    <row r="132" spans="1:7" ht="11.25" customHeight="1">
      <c r="A132" t="s">
        <v>16</v>
      </c>
      <c r="B132" t="s">
        <v>3850</v>
      </c>
      <c r="C132" t="s">
        <v>3851</v>
      </c>
      <c r="D132" t="s">
        <v>3874</v>
      </c>
      <c r="E132" t="s">
        <v>3875</v>
      </c>
      <c r="F132" t="s">
        <v>3547</v>
      </c>
      <c r="G132" t="s">
        <v>3876</v>
      </c>
    </row>
    <row r="133" spans="1:7" ht="11.25" customHeight="1">
      <c r="A133" t="s">
        <v>16</v>
      </c>
      <c r="B133" t="s">
        <v>3850</v>
      </c>
      <c r="C133" t="s">
        <v>3851</v>
      </c>
      <c r="D133" t="s">
        <v>3877</v>
      </c>
      <c r="E133" t="s">
        <v>3878</v>
      </c>
      <c r="F133" t="s">
        <v>3547</v>
      </c>
      <c r="G133" t="s">
        <v>3879</v>
      </c>
    </row>
    <row r="134" spans="1:7" ht="11.25" customHeight="1">
      <c r="A134" t="s">
        <v>16</v>
      </c>
      <c r="B134" t="s">
        <v>3850</v>
      </c>
      <c r="C134" t="s">
        <v>3851</v>
      </c>
      <c r="D134" t="s">
        <v>3880</v>
      </c>
      <c r="E134" t="s">
        <v>3881</v>
      </c>
      <c r="F134" t="s">
        <v>3547</v>
      </c>
      <c r="G134" t="s">
        <v>3882</v>
      </c>
    </row>
    <row r="135" spans="1:7" ht="11.25" customHeight="1">
      <c r="A135" t="s">
        <v>16</v>
      </c>
      <c r="B135" t="s">
        <v>3850</v>
      </c>
      <c r="C135" t="s">
        <v>3851</v>
      </c>
      <c r="D135" t="s">
        <v>3883</v>
      </c>
      <c r="E135" t="s">
        <v>3884</v>
      </c>
      <c r="F135" t="s">
        <v>3547</v>
      </c>
      <c r="G135" t="s">
        <v>3885</v>
      </c>
    </row>
    <row r="136" spans="1:7" ht="11.25" customHeight="1">
      <c r="A136" t="s">
        <v>16</v>
      </c>
      <c r="B136" t="s">
        <v>3850</v>
      </c>
      <c r="C136" t="s">
        <v>3851</v>
      </c>
      <c r="D136" t="s">
        <v>3886</v>
      </c>
      <c r="E136" t="s">
        <v>3887</v>
      </c>
      <c r="F136" t="s">
        <v>3547</v>
      </c>
      <c r="G136" t="s">
        <v>3888</v>
      </c>
    </row>
    <row r="137" spans="1:7" ht="11.25" customHeight="1">
      <c r="A137" t="s">
        <v>16</v>
      </c>
      <c r="B137" t="s">
        <v>3850</v>
      </c>
      <c r="C137" t="s">
        <v>3851</v>
      </c>
      <c r="D137" t="s">
        <v>3889</v>
      </c>
      <c r="E137" t="s">
        <v>3890</v>
      </c>
      <c r="F137" t="s">
        <v>3547</v>
      </c>
      <c r="G137" t="s">
        <v>3891</v>
      </c>
    </row>
    <row r="138" spans="1:7" ht="11.25" customHeight="1">
      <c r="A138" t="s">
        <v>16</v>
      </c>
      <c r="B138" t="s">
        <v>3850</v>
      </c>
      <c r="C138" t="s">
        <v>3851</v>
      </c>
      <c r="D138" t="s">
        <v>3892</v>
      </c>
      <c r="E138" t="s">
        <v>3893</v>
      </c>
      <c r="F138" t="s">
        <v>3547</v>
      </c>
      <c r="G138" t="s">
        <v>3894</v>
      </c>
    </row>
    <row r="139" spans="1:7" ht="11.25" customHeight="1">
      <c r="A139" t="s">
        <v>16</v>
      </c>
      <c r="B139" t="s">
        <v>3850</v>
      </c>
      <c r="C139" t="s">
        <v>3851</v>
      </c>
      <c r="D139" t="s">
        <v>3895</v>
      </c>
      <c r="E139" t="s">
        <v>3896</v>
      </c>
      <c r="F139" t="s">
        <v>3547</v>
      </c>
      <c r="G139" t="s">
        <v>3897</v>
      </c>
    </row>
    <row r="140" spans="1:7" ht="11.25" customHeight="1">
      <c r="A140" t="s">
        <v>16</v>
      </c>
      <c r="B140" t="s">
        <v>3850</v>
      </c>
      <c r="C140" t="s">
        <v>3851</v>
      </c>
      <c r="D140" t="s">
        <v>3898</v>
      </c>
      <c r="E140" t="s">
        <v>3899</v>
      </c>
      <c r="F140" t="s">
        <v>3547</v>
      </c>
      <c r="G140" t="s">
        <v>3900</v>
      </c>
    </row>
    <row r="141" spans="1:7" ht="11.25" customHeight="1">
      <c r="A141" t="s">
        <v>16</v>
      </c>
      <c r="B141" t="s">
        <v>3850</v>
      </c>
      <c r="C141" t="s">
        <v>3851</v>
      </c>
      <c r="D141" t="s">
        <v>3901</v>
      </c>
      <c r="E141" t="s">
        <v>3902</v>
      </c>
      <c r="F141" t="s">
        <v>3547</v>
      </c>
      <c r="G141" t="s">
        <v>3903</v>
      </c>
    </row>
    <row r="142" spans="1:7" ht="11.25" customHeight="1">
      <c r="A142" t="s">
        <v>16</v>
      </c>
      <c r="B142" t="s">
        <v>3850</v>
      </c>
      <c r="C142" t="s">
        <v>3851</v>
      </c>
      <c r="D142" t="s">
        <v>3904</v>
      </c>
      <c r="E142" t="s">
        <v>3905</v>
      </c>
      <c r="F142" t="s">
        <v>3547</v>
      </c>
      <c r="G142" t="s">
        <v>3906</v>
      </c>
    </row>
    <row r="143" spans="1:7" ht="11.25" customHeight="1">
      <c r="A143" t="s">
        <v>16</v>
      </c>
      <c r="B143" t="s">
        <v>3850</v>
      </c>
      <c r="C143" t="s">
        <v>3851</v>
      </c>
      <c r="D143" t="s">
        <v>3907</v>
      </c>
      <c r="E143" t="s">
        <v>3908</v>
      </c>
      <c r="F143" t="s">
        <v>3547</v>
      </c>
      <c r="G143" t="s">
        <v>3909</v>
      </c>
    </row>
    <row r="144" spans="1:7" ht="11.25" customHeight="1">
      <c r="A144" t="s">
        <v>16</v>
      </c>
      <c r="B144" t="s">
        <v>3850</v>
      </c>
      <c r="C144" t="s">
        <v>3851</v>
      </c>
      <c r="D144" t="s">
        <v>3910</v>
      </c>
      <c r="E144" t="s">
        <v>3911</v>
      </c>
      <c r="F144" t="s">
        <v>3547</v>
      </c>
      <c r="G144" t="s">
        <v>3912</v>
      </c>
    </row>
    <row r="145" spans="1:7" ht="11.25" customHeight="1">
      <c r="A145" t="s">
        <v>16</v>
      </c>
      <c r="B145" t="s">
        <v>3850</v>
      </c>
      <c r="C145" t="s">
        <v>3851</v>
      </c>
      <c r="D145" t="s">
        <v>3913</v>
      </c>
      <c r="E145" t="s">
        <v>3914</v>
      </c>
      <c r="F145" t="s">
        <v>3547</v>
      </c>
      <c r="G145" t="s">
        <v>3915</v>
      </c>
    </row>
    <row r="146" spans="1:7" ht="11.25" customHeight="1">
      <c r="A146" t="s">
        <v>16</v>
      </c>
      <c r="B146" t="s">
        <v>3916</v>
      </c>
      <c r="C146" t="s">
        <v>3917</v>
      </c>
      <c r="D146" t="s">
        <v>3918</v>
      </c>
      <c r="E146" t="s">
        <v>3919</v>
      </c>
      <c r="F146" t="s">
        <v>3547</v>
      </c>
      <c r="G146" t="s">
        <v>3920</v>
      </c>
    </row>
    <row r="147" spans="1:7" ht="11.25" customHeight="1">
      <c r="A147" t="s">
        <v>16</v>
      </c>
      <c r="B147" t="s">
        <v>3916</v>
      </c>
      <c r="C147" t="s">
        <v>3917</v>
      </c>
      <c r="D147" t="s">
        <v>3916</v>
      </c>
      <c r="E147" t="s">
        <v>3917</v>
      </c>
      <c r="F147" t="s">
        <v>3544</v>
      </c>
      <c r="G147" t="s">
        <v>3921</v>
      </c>
    </row>
    <row r="148" spans="1:7" ht="11.25" customHeight="1">
      <c r="A148" t="s">
        <v>16</v>
      </c>
      <c r="B148" t="s">
        <v>3916</v>
      </c>
      <c r="C148" t="s">
        <v>3917</v>
      </c>
      <c r="D148" t="s">
        <v>3922</v>
      </c>
      <c r="E148" t="s">
        <v>3923</v>
      </c>
      <c r="F148" t="s">
        <v>3547</v>
      </c>
      <c r="G148" t="s">
        <v>3924</v>
      </c>
    </row>
    <row r="149" spans="1:7" ht="11.25" customHeight="1">
      <c r="A149" t="s">
        <v>16</v>
      </c>
      <c r="B149" t="s">
        <v>3916</v>
      </c>
      <c r="C149" t="s">
        <v>3917</v>
      </c>
      <c r="D149" t="s">
        <v>3853</v>
      </c>
      <c r="E149" t="s">
        <v>3925</v>
      </c>
      <c r="F149" t="s">
        <v>3547</v>
      </c>
      <c r="G149" t="s">
        <v>3926</v>
      </c>
    </row>
    <row r="150" spans="1:7" ht="11.25" customHeight="1">
      <c r="A150" t="s">
        <v>16</v>
      </c>
      <c r="B150" t="s">
        <v>3916</v>
      </c>
      <c r="C150" t="s">
        <v>3917</v>
      </c>
      <c r="D150" t="s">
        <v>3927</v>
      </c>
      <c r="E150" t="s">
        <v>3928</v>
      </c>
      <c r="F150" t="s">
        <v>3547</v>
      </c>
      <c r="G150" t="s">
        <v>3929</v>
      </c>
    </row>
    <row r="151" spans="1:7" ht="11.25" customHeight="1">
      <c r="A151" t="s">
        <v>16</v>
      </c>
      <c r="B151" t="s">
        <v>3916</v>
      </c>
      <c r="C151" t="s">
        <v>3917</v>
      </c>
      <c r="D151" t="s">
        <v>3930</v>
      </c>
      <c r="E151" t="s">
        <v>3931</v>
      </c>
      <c r="F151" t="s">
        <v>3547</v>
      </c>
      <c r="G151" t="s">
        <v>3932</v>
      </c>
    </row>
    <row r="152" spans="1:7" ht="11.25" customHeight="1">
      <c r="A152" t="s">
        <v>16</v>
      </c>
      <c r="B152" t="s">
        <v>3916</v>
      </c>
      <c r="C152" t="s">
        <v>3917</v>
      </c>
      <c r="D152" t="s">
        <v>3859</v>
      </c>
      <c r="E152" t="s">
        <v>3933</v>
      </c>
      <c r="F152" t="s">
        <v>3547</v>
      </c>
      <c r="G152" t="s">
        <v>3934</v>
      </c>
    </row>
    <row r="153" spans="1:7" ht="11.25" customHeight="1">
      <c r="A153" t="s">
        <v>16</v>
      </c>
      <c r="B153" t="s">
        <v>3916</v>
      </c>
      <c r="C153" t="s">
        <v>3917</v>
      </c>
      <c r="D153" t="s">
        <v>3935</v>
      </c>
      <c r="E153" t="s">
        <v>3936</v>
      </c>
      <c r="F153" t="s">
        <v>3547</v>
      </c>
      <c r="G153" t="s">
        <v>3937</v>
      </c>
    </row>
    <row r="154" spans="1:7" ht="11.25" customHeight="1">
      <c r="A154" t="s">
        <v>16</v>
      </c>
      <c r="B154" t="s">
        <v>3916</v>
      </c>
      <c r="C154" t="s">
        <v>3917</v>
      </c>
      <c r="D154" t="s">
        <v>3938</v>
      </c>
      <c r="E154" t="s">
        <v>3939</v>
      </c>
      <c r="F154" t="s">
        <v>3547</v>
      </c>
      <c r="G154" t="s">
        <v>3940</v>
      </c>
    </row>
    <row r="155" spans="1:7" ht="11.25" customHeight="1">
      <c r="A155" t="s">
        <v>16</v>
      </c>
      <c r="B155" t="s">
        <v>3916</v>
      </c>
      <c r="C155" t="s">
        <v>3917</v>
      </c>
      <c r="D155" t="s">
        <v>3941</v>
      </c>
      <c r="E155" t="s">
        <v>3942</v>
      </c>
      <c r="F155" t="s">
        <v>3547</v>
      </c>
      <c r="G155" t="s">
        <v>3943</v>
      </c>
    </row>
    <row r="156" spans="1:7" ht="11.25" customHeight="1">
      <c r="A156" t="s">
        <v>16</v>
      </c>
      <c r="B156" t="s">
        <v>3916</v>
      </c>
      <c r="C156" t="s">
        <v>3917</v>
      </c>
      <c r="D156" t="s">
        <v>3944</v>
      </c>
      <c r="E156" t="s">
        <v>3945</v>
      </c>
      <c r="F156" t="s">
        <v>3547</v>
      </c>
      <c r="G156" t="s">
        <v>3946</v>
      </c>
    </row>
    <row r="157" spans="1:7" ht="11.25" customHeight="1">
      <c r="A157" t="s">
        <v>16</v>
      </c>
      <c r="B157" t="s">
        <v>3916</v>
      </c>
      <c r="C157" t="s">
        <v>3917</v>
      </c>
      <c r="D157" t="s">
        <v>3947</v>
      </c>
      <c r="E157" t="s">
        <v>3948</v>
      </c>
      <c r="F157" t="s">
        <v>3552</v>
      </c>
      <c r="G157" t="s">
        <v>3949</v>
      </c>
    </row>
    <row r="158" spans="1:7" ht="11.25" customHeight="1">
      <c r="A158" t="s">
        <v>16</v>
      </c>
      <c r="B158" t="s">
        <v>3916</v>
      </c>
      <c r="C158" t="s">
        <v>3917</v>
      </c>
      <c r="D158" t="s">
        <v>3950</v>
      </c>
      <c r="E158" t="s">
        <v>3951</v>
      </c>
      <c r="F158" t="s">
        <v>3547</v>
      </c>
      <c r="G158" t="s">
        <v>3952</v>
      </c>
    </row>
    <row r="159" spans="1:7" ht="11.25" customHeight="1">
      <c r="A159" t="s">
        <v>16</v>
      </c>
      <c r="B159" t="s">
        <v>3916</v>
      </c>
      <c r="C159" t="s">
        <v>3917</v>
      </c>
      <c r="D159" t="s">
        <v>3953</v>
      </c>
      <c r="E159" t="s">
        <v>3954</v>
      </c>
      <c r="F159" t="s">
        <v>3547</v>
      </c>
      <c r="G159" t="s">
        <v>3955</v>
      </c>
    </row>
    <row r="160" spans="1:7" ht="11.25" customHeight="1">
      <c r="A160" t="s">
        <v>16</v>
      </c>
      <c r="B160" t="s">
        <v>3916</v>
      </c>
      <c r="C160" t="s">
        <v>3917</v>
      </c>
      <c r="D160" t="s">
        <v>3956</v>
      </c>
      <c r="E160" t="s">
        <v>3957</v>
      </c>
      <c r="F160" t="s">
        <v>3547</v>
      </c>
      <c r="G160" t="s">
        <v>3958</v>
      </c>
    </row>
    <row r="161" spans="1:7" ht="11.25" customHeight="1">
      <c r="A161" t="s">
        <v>16</v>
      </c>
      <c r="B161" t="s">
        <v>3916</v>
      </c>
      <c r="C161" t="s">
        <v>3917</v>
      </c>
      <c r="D161" t="s">
        <v>3959</v>
      </c>
      <c r="E161" t="s">
        <v>3960</v>
      </c>
      <c r="F161" t="s">
        <v>3547</v>
      </c>
      <c r="G161" t="s">
        <v>3961</v>
      </c>
    </row>
    <row r="162" spans="1:7" ht="11.25" customHeight="1">
      <c r="A162" t="s">
        <v>16</v>
      </c>
      <c r="B162" t="s">
        <v>3916</v>
      </c>
      <c r="C162" t="s">
        <v>3917</v>
      </c>
      <c r="D162" t="s">
        <v>3962</v>
      </c>
      <c r="E162" t="s">
        <v>3963</v>
      </c>
      <c r="F162" t="s">
        <v>3547</v>
      </c>
      <c r="G162" t="s">
        <v>3964</v>
      </c>
    </row>
    <row r="163" spans="1:7" ht="11.25" customHeight="1">
      <c r="A163" t="s">
        <v>16</v>
      </c>
      <c r="B163" t="s">
        <v>3916</v>
      </c>
      <c r="C163" t="s">
        <v>3917</v>
      </c>
      <c r="D163" t="s">
        <v>3965</v>
      </c>
      <c r="E163" t="s">
        <v>3966</v>
      </c>
      <c r="F163" t="s">
        <v>3547</v>
      </c>
      <c r="G163" t="s">
        <v>3967</v>
      </c>
    </row>
    <row r="164" spans="1:7" ht="11.25" customHeight="1">
      <c r="A164" t="s">
        <v>16</v>
      </c>
      <c r="B164" t="s">
        <v>3916</v>
      </c>
      <c r="C164" t="s">
        <v>3917</v>
      </c>
      <c r="D164" t="s">
        <v>3968</v>
      </c>
      <c r="E164" t="s">
        <v>3969</v>
      </c>
      <c r="F164" t="s">
        <v>3547</v>
      </c>
      <c r="G164" t="s">
        <v>3970</v>
      </c>
    </row>
    <row r="165" spans="1:7" ht="11.25" customHeight="1">
      <c r="A165" t="s">
        <v>16</v>
      </c>
      <c r="B165" t="s">
        <v>3916</v>
      </c>
      <c r="C165" t="s">
        <v>3917</v>
      </c>
      <c r="D165" t="s">
        <v>3971</v>
      </c>
      <c r="E165" t="s">
        <v>3972</v>
      </c>
      <c r="F165" t="s">
        <v>3547</v>
      </c>
      <c r="G165" t="s">
        <v>3973</v>
      </c>
    </row>
    <row r="166" spans="1:7" ht="11.25" customHeight="1">
      <c r="A166" t="s">
        <v>16</v>
      </c>
      <c r="B166" t="s">
        <v>3916</v>
      </c>
      <c r="C166" t="s">
        <v>3917</v>
      </c>
      <c r="D166" t="s">
        <v>3974</v>
      </c>
      <c r="E166" t="s">
        <v>3975</v>
      </c>
      <c r="F166" t="s">
        <v>3547</v>
      </c>
      <c r="G166" t="s">
        <v>3976</v>
      </c>
    </row>
    <row r="167" spans="1:7" ht="11.25" customHeight="1">
      <c r="A167" t="s">
        <v>16</v>
      </c>
      <c r="B167" t="s">
        <v>3916</v>
      </c>
      <c r="C167" t="s">
        <v>3917</v>
      </c>
      <c r="D167" t="s">
        <v>3977</v>
      </c>
      <c r="E167" t="s">
        <v>3978</v>
      </c>
      <c r="F167" t="s">
        <v>3547</v>
      </c>
      <c r="G167" t="s">
        <v>3979</v>
      </c>
    </row>
    <row r="168" spans="1:7" ht="11.25" customHeight="1">
      <c r="A168" t="s">
        <v>16</v>
      </c>
      <c r="B168" t="s">
        <v>3916</v>
      </c>
      <c r="C168" t="s">
        <v>3917</v>
      </c>
      <c r="D168" t="s">
        <v>3980</v>
      </c>
      <c r="E168" t="s">
        <v>3981</v>
      </c>
      <c r="F168" t="s">
        <v>3547</v>
      </c>
      <c r="G168" t="s">
        <v>3982</v>
      </c>
    </row>
    <row r="169" spans="1:7" ht="11.25" customHeight="1">
      <c r="A169" t="s">
        <v>16</v>
      </c>
      <c r="B169" t="s">
        <v>3916</v>
      </c>
      <c r="C169" t="s">
        <v>3917</v>
      </c>
      <c r="D169" t="s">
        <v>3983</v>
      </c>
      <c r="E169" t="s">
        <v>3984</v>
      </c>
      <c r="F169" t="s">
        <v>3547</v>
      </c>
      <c r="G169" t="s">
        <v>3985</v>
      </c>
    </row>
    <row r="170" spans="1:7" ht="11.25" customHeight="1">
      <c r="A170" t="s">
        <v>16</v>
      </c>
      <c r="B170" t="s">
        <v>3916</v>
      </c>
      <c r="C170" t="s">
        <v>3917</v>
      </c>
      <c r="D170" t="s">
        <v>3986</v>
      </c>
      <c r="E170" t="s">
        <v>3987</v>
      </c>
      <c r="F170" t="s">
        <v>3547</v>
      </c>
      <c r="G170" t="s">
        <v>3988</v>
      </c>
    </row>
    <row r="171" spans="1:7" ht="11.25" customHeight="1">
      <c r="A171" t="s">
        <v>16</v>
      </c>
      <c r="B171" t="s">
        <v>3916</v>
      </c>
      <c r="C171" t="s">
        <v>3917</v>
      </c>
      <c r="D171" t="s">
        <v>3989</v>
      </c>
      <c r="E171" t="s">
        <v>3990</v>
      </c>
      <c r="F171" t="s">
        <v>3547</v>
      </c>
      <c r="G171" t="s">
        <v>3991</v>
      </c>
    </row>
    <row r="172" spans="1:7" ht="11.25" customHeight="1">
      <c r="A172" t="s">
        <v>16</v>
      </c>
      <c r="B172" t="s">
        <v>3916</v>
      </c>
      <c r="C172" t="s">
        <v>3917</v>
      </c>
      <c r="D172" t="s">
        <v>3992</v>
      </c>
      <c r="E172" t="s">
        <v>3993</v>
      </c>
      <c r="F172" t="s">
        <v>3547</v>
      </c>
      <c r="G172" t="s">
        <v>3994</v>
      </c>
    </row>
    <row r="173" spans="1:7" ht="11.25" customHeight="1">
      <c r="A173" t="s">
        <v>16</v>
      </c>
      <c r="B173" t="s">
        <v>3916</v>
      </c>
      <c r="C173" t="s">
        <v>3917</v>
      </c>
      <c r="D173" t="s">
        <v>3995</v>
      </c>
      <c r="E173" t="s">
        <v>3996</v>
      </c>
      <c r="F173" t="s">
        <v>3547</v>
      </c>
      <c r="G173" t="s">
        <v>3997</v>
      </c>
    </row>
    <row r="174" spans="1:7" ht="11.25" customHeight="1">
      <c r="A174" t="s">
        <v>16</v>
      </c>
      <c r="B174" t="s">
        <v>3916</v>
      </c>
      <c r="C174" t="s">
        <v>3917</v>
      </c>
      <c r="D174" t="s">
        <v>3998</v>
      </c>
      <c r="E174" t="s">
        <v>3999</v>
      </c>
      <c r="F174" t="s">
        <v>3547</v>
      </c>
      <c r="G174" t="s">
        <v>4000</v>
      </c>
    </row>
    <row r="175" spans="1:7" ht="11.25" customHeight="1">
      <c r="A175" t="s">
        <v>16</v>
      </c>
      <c r="B175" t="s">
        <v>3916</v>
      </c>
      <c r="C175" t="s">
        <v>3917</v>
      </c>
      <c r="D175" t="s">
        <v>4001</v>
      </c>
      <c r="E175" t="s">
        <v>4002</v>
      </c>
      <c r="F175" t="s">
        <v>3547</v>
      </c>
      <c r="G175" t="s">
        <v>4003</v>
      </c>
    </row>
    <row r="176" spans="1:7" ht="11.25" customHeight="1">
      <c r="A176" t="s">
        <v>16</v>
      </c>
      <c r="B176" t="s">
        <v>3916</v>
      </c>
      <c r="C176" t="s">
        <v>3917</v>
      </c>
      <c r="D176" t="s">
        <v>4004</v>
      </c>
      <c r="E176" t="s">
        <v>4005</v>
      </c>
      <c r="F176" t="s">
        <v>3547</v>
      </c>
      <c r="G176" t="s">
        <v>4006</v>
      </c>
    </row>
    <row r="177" spans="1:7" ht="11.25" customHeight="1">
      <c r="A177" t="s">
        <v>16</v>
      </c>
      <c r="B177" t="s">
        <v>3916</v>
      </c>
      <c r="C177" t="s">
        <v>3917</v>
      </c>
      <c r="D177" t="s">
        <v>4007</v>
      </c>
      <c r="E177" t="s">
        <v>4008</v>
      </c>
      <c r="F177" t="s">
        <v>3547</v>
      </c>
      <c r="G177" t="s">
        <v>4009</v>
      </c>
    </row>
    <row r="178" spans="1:7" ht="11.25" customHeight="1">
      <c r="A178" t="s">
        <v>16</v>
      </c>
      <c r="B178" t="s">
        <v>3916</v>
      </c>
      <c r="C178" t="s">
        <v>3917</v>
      </c>
      <c r="D178" t="s">
        <v>4010</v>
      </c>
      <c r="E178" t="s">
        <v>4011</v>
      </c>
      <c r="F178" t="s">
        <v>3547</v>
      </c>
      <c r="G178" t="s">
        <v>4012</v>
      </c>
    </row>
    <row r="179" spans="1:7" ht="11.25" customHeight="1">
      <c r="A179" t="s">
        <v>16</v>
      </c>
      <c r="B179" t="s">
        <v>3916</v>
      </c>
      <c r="C179" t="s">
        <v>3917</v>
      </c>
      <c r="D179" t="s">
        <v>4013</v>
      </c>
      <c r="E179" t="s">
        <v>4014</v>
      </c>
      <c r="F179" t="s">
        <v>3547</v>
      </c>
      <c r="G179" t="s">
        <v>4015</v>
      </c>
    </row>
    <row r="180" spans="1:7" ht="11.25" customHeight="1">
      <c r="A180" t="s">
        <v>16</v>
      </c>
      <c r="B180" t="s">
        <v>3916</v>
      </c>
      <c r="C180" t="s">
        <v>3917</v>
      </c>
      <c r="D180" t="s">
        <v>4016</v>
      </c>
      <c r="E180" t="s">
        <v>4017</v>
      </c>
      <c r="F180" t="s">
        <v>3547</v>
      </c>
      <c r="G180" t="s">
        <v>4018</v>
      </c>
    </row>
    <row r="181" spans="1:7" ht="11.25" customHeight="1">
      <c r="A181" t="s">
        <v>16</v>
      </c>
      <c r="B181" t="s">
        <v>3916</v>
      </c>
      <c r="C181" t="s">
        <v>3917</v>
      </c>
      <c r="D181" t="s">
        <v>4019</v>
      </c>
      <c r="E181" t="s">
        <v>4020</v>
      </c>
      <c r="F181" t="s">
        <v>3547</v>
      </c>
      <c r="G181" t="s">
        <v>4021</v>
      </c>
    </row>
    <row r="182" spans="1:7" ht="11.25" customHeight="1">
      <c r="A182" t="s">
        <v>16</v>
      </c>
      <c r="B182" t="s">
        <v>3916</v>
      </c>
      <c r="C182" t="s">
        <v>3917</v>
      </c>
      <c r="D182" t="s">
        <v>4022</v>
      </c>
      <c r="E182" t="s">
        <v>4023</v>
      </c>
      <c r="F182" t="s">
        <v>3547</v>
      </c>
      <c r="G182" t="s">
        <v>4024</v>
      </c>
    </row>
    <row r="183" spans="1:7" ht="11.25" customHeight="1">
      <c r="A183" t="s">
        <v>16</v>
      </c>
      <c r="B183" t="s">
        <v>3916</v>
      </c>
      <c r="C183" t="s">
        <v>3917</v>
      </c>
      <c r="D183" t="s">
        <v>4025</v>
      </c>
      <c r="E183" t="s">
        <v>4026</v>
      </c>
      <c r="F183" t="s">
        <v>3552</v>
      </c>
      <c r="G183" t="s">
        <v>4027</v>
      </c>
    </row>
    <row r="184" spans="1:7" ht="11.25" customHeight="1">
      <c r="A184" t="s">
        <v>16</v>
      </c>
      <c r="B184" t="s">
        <v>4028</v>
      </c>
      <c r="C184" t="s">
        <v>4029</v>
      </c>
      <c r="D184" t="s">
        <v>4030</v>
      </c>
      <c r="E184" t="s">
        <v>4031</v>
      </c>
      <c r="F184" t="s">
        <v>3547</v>
      </c>
      <c r="G184" t="s">
        <v>4032</v>
      </c>
    </row>
    <row r="185" spans="1:7" ht="11.25" customHeight="1">
      <c r="A185" t="s">
        <v>16</v>
      </c>
      <c r="B185" t="s">
        <v>4028</v>
      </c>
      <c r="C185" t="s">
        <v>4029</v>
      </c>
      <c r="D185" t="s">
        <v>4028</v>
      </c>
      <c r="E185" t="s">
        <v>4029</v>
      </c>
      <c r="F185" t="s">
        <v>3544</v>
      </c>
      <c r="G185" t="s">
        <v>4033</v>
      </c>
    </row>
    <row r="186" spans="1:7" ht="11.25" customHeight="1">
      <c r="A186" t="s">
        <v>16</v>
      </c>
      <c r="B186" t="s">
        <v>4028</v>
      </c>
      <c r="C186" t="s">
        <v>4029</v>
      </c>
      <c r="D186" t="s">
        <v>4034</v>
      </c>
      <c r="E186" t="s">
        <v>4035</v>
      </c>
      <c r="F186" t="s">
        <v>3547</v>
      </c>
      <c r="G186" t="s">
        <v>4036</v>
      </c>
    </row>
    <row r="187" spans="1:7" ht="11.25" customHeight="1">
      <c r="A187" t="s">
        <v>16</v>
      </c>
      <c r="B187" t="s">
        <v>4028</v>
      </c>
      <c r="C187" t="s">
        <v>4029</v>
      </c>
      <c r="D187" t="s">
        <v>4037</v>
      </c>
      <c r="E187" t="s">
        <v>4038</v>
      </c>
      <c r="F187" t="s">
        <v>3547</v>
      </c>
      <c r="G187" t="s">
        <v>4039</v>
      </c>
    </row>
    <row r="188" spans="1:7" ht="11.25" customHeight="1">
      <c r="A188" t="s">
        <v>16</v>
      </c>
      <c r="B188" t="s">
        <v>4028</v>
      </c>
      <c r="C188" t="s">
        <v>4029</v>
      </c>
      <c r="D188" t="s">
        <v>4040</v>
      </c>
      <c r="E188" t="s">
        <v>4041</v>
      </c>
      <c r="F188" t="s">
        <v>3547</v>
      </c>
      <c r="G188" t="s">
        <v>4042</v>
      </c>
    </row>
    <row r="189" spans="1:7" ht="11.25" customHeight="1">
      <c r="A189" t="s">
        <v>16</v>
      </c>
      <c r="B189" t="s">
        <v>4028</v>
      </c>
      <c r="C189" t="s">
        <v>4029</v>
      </c>
      <c r="D189" t="s">
        <v>4043</v>
      </c>
      <c r="E189" t="s">
        <v>4044</v>
      </c>
      <c r="F189" t="s">
        <v>3547</v>
      </c>
      <c r="G189" t="s">
        <v>4045</v>
      </c>
    </row>
    <row r="190" spans="1:7" ht="11.25" customHeight="1">
      <c r="A190" t="s">
        <v>16</v>
      </c>
      <c r="B190" t="s">
        <v>4028</v>
      </c>
      <c r="C190" t="s">
        <v>4029</v>
      </c>
      <c r="D190" t="s">
        <v>4046</v>
      </c>
      <c r="E190" t="s">
        <v>4047</v>
      </c>
      <c r="F190" t="s">
        <v>3547</v>
      </c>
      <c r="G190" t="s">
        <v>4048</v>
      </c>
    </row>
    <row r="191" spans="1:7" ht="11.25" customHeight="1">
      <c r="A191" t="s">
        <v>16</v>
      </c>
      <c r="B191" t="s">
        <v>4028</v>
      </c>
      <c r="C191" t="s">
        <v>4029</v>
      </c>
      <c r="D191" t="s">
        <v>4049</v>
      </c>
      <c r="E191" t="s">
        <v>4050</v>
      </c>
      <c r="F191" t="s">
        <v>3547</v>
      </c>
      <c r="G191" t="s">
        <v>4051</v>
      </c>
    </row>
    <row r="192" spans="1:7" ht="11.25" customHeight="1">
      <c r="A192" t="s">
        <v>16</v>
      </c>
      <c r="B192" t="s">
        <v>4028</v>
      </c>
      <c r="C192" t="s">
        <v>4029</v>
      </c>
      <c r="D192" t="s">
        <v>4052</v>
      </c>
      <c r="E192" t="s">
        <v>4053</v>
      </c>
      <c r="F192" t="s">
        <v>3547</v>
      </c>
      <c r="G192" t="s">
        <v>4054</v>
      </c>
    </row>
    <row r="193" spans="1:7" ht="11.25" customHeight="1">
      <c r="A193" t="s">
        <v>16</v>
      </c>
      <c r="B193" t="s">
        <v>4028</v>
      </c>
      <c r="C193" t="s">
        <v>4029</v>
      </c>
      <c r="D193" t="s">
        <v>4055</v>
      </c>
      <c r="E193" t="s">
        <v>4056</v>
      </c>
      <c r="F193" t="s">
        <v>3547</v>
      </c>
      <c r="G193" t="s">
        <v>4057</v>
      </c>
    </row>
    <row r="194" spans="1:7" ht="11.25" customHeight="1">
      <c r="A194" t="s">
        <v>16</v>
      </c>
      <c r="B194" t="s">
        <v>4028</v>
      </c>
      <c r="C194" t="s">
        <v>4029</v>
      </c>
      <c r="D194" t="s">
        <v>4058</v>
      </c>
      <c r="E194" t="s">
        <v>4059</v>
      </c>
      <c r="F194" t="s">
        <v>3547</v>
      </c>
      <c r="G194" t="s">
        <v>4060</v>
      </c>
    </row>
    <row r="195" spans="1:7" ht="11.25" customHeight="1">
      <c r="A195" t="s">
        <v>16</v>
      </c>
      <c r="B195" t="s">
        <v>4028</v>
      </c>
      <c r="C195" t="s">
        <v>4029</v>
      </c>
      <c r="D195" t="s">
        <v>4061</v>
      </c>
      <c r="E195" t="s">
        <v>4062</v>
      </c>
      <c r="F195" t="s">
        <v>3547</v>
      </c>
      <c r="G195" t="s">
        <v>4063</v>
      </c>
    </row>
    <row r="196" spans="1:7" ht="11.25" customHeight="1">
      <c r="A196" t="s">
        <v>16</v>
      </c>
      <c r="B196" t="s">
        <v>4028</v>
      </c>
      <c r="C196" t="s">
        <v>4029</v>
      </c>
      <c r="D196" t="s">
        <v>4064</v>
      </c>
      <c r="E196" t="s">
        <v>4065</v>
      </c>
      <c r="F196" t="s">
        <v>3547</v>
      </c>
      <c r="G196" t="s">
        <v>4066</v>
      </c>
    </row>
    <row r="197" spans="1:7" ht="11.25" customHeight="1">
      <c r="A197" t="s">
        <v>16</v>
      </c>
      <c r="B197" t="s">
        <v>4028</v>
      </c>
      <c r="C197" t="s">
        <v>4029</v>
      </c>
      <c r="D197" t="s">
        <v>4067</v>
      </c>
      <c r="E197" t="s">
        <v>4068</v>
      </c>
      <c r="F197" t="s">
        <v>3547</v>
      </c>
      <c r="G197" t="s">
        <v>4069</v>
      </c>
    </row>
    <row r="198" spans="1:7" ht="11.25" customHeight="1">
      <c r="A198" t="s">
        <v>16</v>
      </c>
      <c r="B198" t="s">
        <v>4028</v>
      </c>
      <c r="C198" t="s">
        <v>4029</v>
      </c>
      <c r="D198" t="s">
        <v>4070</v>
      </c>
      <c r="E198" t="s">
        <v>4071</v>
      </c>
      <c r="F198" t="s">
        <v>3547</v>
      </c>
      <c r="G198" t="s">
        <v>4072</v>
      </c>
    </row>
    <row r="199" spans="1:7" ht="11.25" customHeight="1">
      <c r="A199" t="s">
        <v>16</v>
      </c>
      <c r="B199" t="s">
        <v>4028</v>
      </c>
      <c r="C199" t="s">
        <v>4029</v>
      </c>
      <c r="D199" t="s">
        <v>4073</v>
      </c>
      <c r="E199" t="s">
        <v>4074</v>
      </c>
      <c r="F199" t="s">
        <v>3547</v>
      </c>
      <c r="G199" t="s">
        <v>4075</v>
      </c>
    </row>
    <row r="200" spans="1:7" ht="11.25" customHeight="1">
      <c r="A200" t="s">
        <v>16</v>
      </c>
      <c r="B200" t="s">
        <v>4028</v>
      </c>
      <c r="C200" t="s">
        <v>4029</v>
      </c>
      <c r="D200" t="s">
        <v>4076</v>
      </c>
      <c r="E200" t="s">
        <v>4077</v>
      </c>
      <c r="F200" t="s">
        <v>3547</v>
      </c>
      <c r="G200" t="s">
        <v>4078</v>
      </c>
    </row>
    <row r="201" spans="1:7" ht="11.25" customHeight="1">
      <c r="A201" t="s">
        <v>16</v>
      </c>
      <c r="B201" t="s">
        <v>4028</v>
      </c>
      <c r="C201" t="s">
        <v>4029</v>
      </c>
      <c r="D201" t="s">
        <v>4079</v>
      </c>
      <c r="E201" t="s">
        <v>4080</v>
      </c>
      <c r="F201" t="s">
        <v>3547</v>
      </c>
      <c r="G201" t="s">
        <v>4081</v>
      </c>
    </row>
    <row r="202" spans="1:7" ht="11.25" customHeight="1">
      <c r="A202" t="s">
        <v>16</v>
      </c>
      <c r="B202" t="s">
        <v>4028</v>
      </c>
      <c r="C202" t="s">
        <v>4029</v>
      </c>
      <c r="D202" t="s">
        <v>4082</v>
      </c>
      <c r="E202" t="s">
        <v>4083</v>
      </c>
      <c r="F202" t="s">
        <v>3547</v>
      </c>
      <c r="G202" t="s">
        <v>4084</v>
      </c>
    </row>
    <row r="203" spans="1:7" ht="11.25" customHeight="1">
      <c r="A203" t="s">
        <v>16</v>
      </c>
      <c r="B203" t="s">
        <v>4028</v>
      </c>
      <c r="C203" t="s">
        <v>4029</v>
      </c>
      <c r="D203" t="s">
        <v>4085</v>
      </c>
      <c r="E203" t="s">
        <v>4086</v>
      </c>
      <c r="F203" t="s">
        <v>3547</v>
      </c>
      <c r="G203" t="s">
        <v>4087</v>
      </c>
    </row>
    <row r="204" spans="1:7" ht="11.25" customHeight="1">
      <c r="A204" t="s">
        <v>16</v>
      </c>
      <c r="B204" t="s">
        <v>4028</v>
      </c>
      <c r="C204" t="s">
        <v>4029</v>
      </c>
      <c r="D204" t="s">
        <v>4088</v>
      </c>
      <c r="E204" t="s">
        <v>4089</v>
      </c>
      <c r="F204" t="s">
        <v>3547</v>
      </c>
      <c r="G204" t="s">
        <v>4090</v>
      </c>
    </row>
    <row r="205" spans="1:7" ht="11.25" customHeight="1">
      <c r="A205" t="s">
        <v>16</v>
      </c>
      <c r="B205" t="s">
        <v>4028</v>
      </c>
      <c r="C205" t="s">
        <v>4029</v>
      </c>
      <c r="D205" t="s">
        <v>4091</v>
      </c>
      <c r="E205" t="s">
        <v>4092</v>
      </c>
      <c r="F205" t="s">
        <v>3547</v>
      </c>
      <c r="G205" t="s">
        <v>4093</v>
      </c>
    </row>
    <row r="206" spans="1:7" ht="11.25" customHeight="1">
      <c r="A206" t="s">
        <v>16</v>
      </c>
      <c r="B206" t="s">
        <v>4028</v>
      </c>
      <c r="C206" t="s">
        <v>4029</v>
      </c>
      <c r="D206" t="s">
        <v>4094</v>
      </c>
      <c r="E206" t="s">
        <v>4095</v>
      </c>
      <c r="F206" t="s">
        <v>3649</v>
      </c>
      <c r="G206" t="s">
        <v>4096</v>
      </c>
    </row>
    <row r="207" spans="1:7" ht="11.25" customHeight="1">
      <c r="A207" t="s">
        <v>16</v>
      </c>
      <c r="B207" t="s">
        <v>4097</v>
      </c>
      <c r="C207" t="s">
        <v>4098</v>
      </c>
      <c r="D207" t="s">
        <v>4099</v>
      </c>
      <c r="E207" t="s">
        <v>4100</v>
      </c>
      <c r="F207" t="s">
        <v>3547</v>
      </c>
      <c r="G207" t="s">
        <v>4101</v>
      </c>
    </row>
    <row r="208" spans="1:7" ht="11.25" customHeight="1">
      <c r="A208" t="s">
        <v>16</v>
      </c>
      <c r="B208" t="s">
        <v>4097</v>
      </c>
      <c r="C208" t="s">
        <v>4098</v>
      </c>
      <c r="D208" t="s">
        <v>4097</v>
      </c>
      <c r="E208" t="s">
        <v>4098</v>
      </c>
      <c r="F208" t="s">
        <v>3544</v>
      </c>
      <c r="G208" t="s">
        <v>4102</v>
      </c>
    </row>
    <row r="209" spans="1:7" ht="11.25" customHeight="1">
      <c r="A209" t="s">
        <v>16</v>
      </c>
      <c r="B209" t="s">
        <v>4097</v>
      </c>
      <c r="C209" t="s">
        <v>4098</v>
      </c>
      <c r="D209" t="s">
        <v>4103</v>
      </c>
      <c r="E209" t="s">
        <v>4104</v>
      </c>
      <c r="F209" t="s">
        <v>3649</v>
      </c>
      <c r="G209" t="s">
        <v>4105</v>
      </c>
    </row>
    <row r="210" spans="1:7" ht="11.25" customHeight="1">
      <c r="A210" t="s">
        <v>16</v>
      </c>
      <c r="B210" t="s">
        <v>4097</v>
      </c>
      <c r="C210" t="s">
        <v>4098</v>
      </c>
      <c r="D210" t="s">
        <v>4106</v>
      </c>
      <c r="E210" t="s">
        <v>4107</v>
      </c>
      <c r="F210" t="s">
        <v>3547</v>
      </c>
      <c r="G210" t="s">
        <v>4108</v>
      </c>
    </row>
    <row r="211" spans="1:7" ht="11.25" customHeight="1">
      <c r="A211" t="s">
        <v>16</v>
      </c>
      <c r="B211" t="s">
        <v>4097</v>
      </c>
      <c r="C211" t="s">
        <v>4098</v>
      </c>
      <c r="D211" t="s">
        <v>4109</v>
      </c>
      <c r="E211" t="s">
        <v>4110</v>
      </c>
      <c r="F211" t="s">
        <v>3547</v>
      </c>
      <c r="G211" t="s">
        <v>4111</v>
      </c>
    </row>
    <row r="212" spans="1:7" ht="11.25" customHeight="1">
      <c r="A212" t="s">
        <v>16</v>
      </c>
      <c r="B212" t="s">
        <v>4097</v>
      </c>
      <c r="C212" t="s">
        <v>4098</v>
      </c>
      <c r="D212" t="s">
        <v>4112</v>
      </c>
      <c r="E212" t="s">
        <v>4113</v>
      </c>
      <c r="F212" t="s">
        <v>3547</v>
      </c>
      <c r="G212" t="s">
        <v>4114</v>
      </c>
    </row>
    <row r="213" spans="1:7" ht="11.25" customHeight="1">
      <c r="A213" t="s">
        <v>16</v>
      </c>
      <c r="B213" t="s">
        <v>4097</v>
      </c>
      <c r="C213" t="s">
        <v>4098</v>
      </c>
      <c r="D213" t="s">
        <v>4115</v>
      </c>
      <c r="E213" t="s">
        <v>4116</v>
      </c>
      <c r="F213" t="s">
        <v>3547</v>
      </c>
      <c r="G213" t="s">
        <v>4117</v>
      </c>
    </row>
    <row r="214" spans="1:7" ht="11.25" customHeight="1">
      <c r="A214" t="s">
        <v>16</v>
      </c>
      <c r="B214" t="s">
        <v>4097</v>
      </c>
      <c r="C214" t="s">
        <v>4098</v>
      </c>
      <c r="D214" t="s">
        <v>4118</v>
      </c>
      <c r="E214" t="s">
        <v>4119</v>
      </c>
      <c r="F214" t="s">
        <v>3547</v>
      </c>
      <c r="G214" t="s">
        <v>4120</v>
      </c>
    </row>
    <row r="215" spans="1:7" ht="11.25" customHeight="1">
      <c r="A215" t="s">
        <v>16</v>
      </c>
      <c r="B215" t="s">
        <v>4097</v>
      </c>
      <c r="C215" t="s">
        <v>4098</v>
      </c>
      <c r="D215" t="s">
        <v>4121</v>
      </c>
      <c r="E215" t="s">
        <v>4122</v>
      </c>
      <c r="F215" t="s">
        <v>3547</v>
      </c>
      <c r="G215" t="s">
        <v>4123</v>
      </c>
    </row>
    <row r="216" spans="1:7" ht="11.25" customHeight="1">
      <c r="A216" t="s">
        <v>16</v>
      </c>
      <c r="B216" t="s">
        <v>4097</v>
      </c>
      <c r="C216" t="s">
        <v>4098</v>
      </c>
      <c r="D216" t="s">
        <v>4124</v>
      </c>
      <c r="E216" t="s">
        <v>4125</v>
      </c>
      <c r="F216" t="s">
        <v>3547</v>
      </c>
      <c r="G216" t="s">
        <v>4126</v>
      </c>
    </row>
    <row r="217" spans="1:7" ht="11.25" customHeight="1">
      <c r="A217" t="s">
        <v>16</v>
      </c>
      <c r="B217" t="s">
        <v>4097</v>
      </c>
      <c r="C217" t="s">
        <v>4098</v>
      </c>
      <c r="D217" t="s">
        <v>4127</v>
      </c>
      <c r="E217" t="s">
        <v>4128</v>
      </c>
      <c r="F217" t="s">
        <v>3547</v>
      </c>
      <c r="G217" t="s">
        <v>4129</v>
      </c>
    </row>
    <row r="218" spans="1:7" ht="11.25" customHeight="1">
      <c r="A218" t="s">
        <v>16</v>
      </c>
      <c r="B218" t="s">
        <v>4097</v>
      </c>
      <c r="C218" t="s">
        <v>4098</v>
      </c>
      <c r="D218" t="s">
        <v>4130</v>
      </c>
      <c r="E218" t="s">
        <v>4131</v>
      </c>
      <c r="F218" t="s">
        <v>3547</v>
      </c>
      <c r="G218" t="s">
        <v>4132</v>
      </c>
    </row>
    <row r="219" spans="1:7" ht="11.25" customHeight="1">
      <c r="A219" t="s">
        <v>16</v>
      </c>
      <c r="B219" t="s">
        <v>4097</v>
      </c>
      <c r="C219" t="s">
        <v>4098</v>
      </c>
      <c r="D219" t="s">
        <v>4133</v>
      </c>
      <c r="E219" t="s">
        <v>4134</v>
      </c>
      <c r="F219" t="s">
        <v>3547</v>
      </c>
      <c r="G219" t="s">
        <v>4135</v>
      </c>
    </row>
    <row r="220" spans="1:7" ht="11.25" customHeight="1">
      <c r="A220" t="s">
        <v>16</v>
      </c>
      <c r="B220" t="s">
        <v>4097</v>
      </c>
      <c r="C220" t="s">
        <v>4098</v>
      </c>
      <c r="D220" t="s">
        <v>4136</v>
      </c>
      <c r="E220" t="s">
        <v>4137</v>
      </c>
      <c r="F220" t="s">
        <v>3547</v>
      </c>
      <c r="G220" t="s">
        <v>4138</v>
      </c>
    </row>
    <row r="221" spans="1:7" ht="11.25" customHeight="1">
      <c r="A221" t="s">
        <v>16</v>
      </c>
      <c r="B221" t="s">
        <v>4097</v>
      </c>
      <c r="C221" t="s">
        <v>4098</v>
      </c>
      <c r="D221" t="s">
        <v>4139</v>
      </c>
      <c r="E221" t="s">
        <v>4140</v>
      </c>
      <c r="F221" t="s">
        <v>3547</v>
      </c>
      <c r="G221" t="s">
        <v>4141</v>
      </c>
    </row>
    <row r="222" spans="1:7" ht="11.25" customHeight="1">
      <c r="A222" t="s">
        <v>16</v>
      </c>
      <c r="B222" t="s">
        <v>4097</v>
      </c>
      <c r="C222" t="s">
        <v>4098</v>
      </c>
      <c r="D222" t="s">
        <v>4142</v>
      </c>
      <c r="E222" t="s">
        <v>4143</v>
      </c>
      <c r="F222" t="s">
        <v>3547</v>
      </c>
      <c r="G222" t="s">
        <v>4144</v>
      </c>
    </row>
    <row r="223" spans="1:7" ht="11.25" customHeight="1">
      <c r="A223" t="s">
        <v>16</v>
      </c>
      <c r="B223" t="s">
        <v>4097</v>
      </c>
      <c r="C223" t="s">
        <v>4098</v>
      </c>
      <c r="D223" t="s">
        <v>4145</v>
      </c>
      <c r="E223" t="s">
        <v>4146</v>
      </c>
      <c r="F223" t="s">
        <v>3547</v>
      </c>
      <c r="G223" t="s">
        <v>4147</v>
      </c>
    </row>
    <row r="224" spans="1:7" ht="11.25" customHeight="1">
      <c r="A224" t="s">
        <v>16</v>
      </c>
      <c r="B224" t="s">
        <v>4097</v>
      </c>
      <c r="C224" t="s">
        <v>4098</v>
      </c>
      <c r="D224" t="s">
        <v>4148</v>
      </c>
      <c r="E224" t="s">
        <v>4149</v>
      </c>
      <c r="F224" t="s">
        <v>3547</v>
      </c>
      <c r="G224" t="s">
        <v>4150</v>
      </c>
    </row>
    <row r="225" spans="1:7" ht="11.25" customHeight="1">
      <c r="A225" t="s">
        <v>16</v>
      </c>
      <c r="B225" t="s">
        <v>4151</v>
      </c>
      <c r="C225" t="s">
        <v>4152</v>
      </c>
      <c r="D225" t="s">
        <v>4151</v>
      </c>
      <c r="E225" t="s">
        <v>4152</v>
      </c>
      <c r="F225" t="s">
        <v>3544</v>
      </c>
      <c r="G225" t="s">
        <v>4153</v>
      </c>
    </row>
    <row r="226" spans="1:7" ht="11.25" customHeight="1">
      <c r="A226" t="s">
        <v>16</v>
      </c>
      <c r="B226" t="s">
        <v>4151</v>
      </c>
      <c r="C226" t="s">
        <v>4152</v>
      </c>
      <c r="D226" t="s">
        <v>4154</v>
      </c>
      <c r="E226" t="s">
        <v>4155</v>
      </c>
      <c r="F226" t="s">
        <v>3547</v>
      </c>
      <c r="G226" t="s">
        <v>4156</v>
      </c>
    </row>
    <row r="227" spans="1:7" ht="11.25" customHeight="1">
      <c r="A227" t="s">
        <v>16</v>
      </c>
      <c r="B227" t="s">
        <v>4151</v>
      </c>
      <c r="C227" t="s">
        <v>4152</v>
      </c>
      <c r="D227" t="s">
        <v>4157</v>
      </c>
      <c r="E227" t="s">
        <v>4158</v>
      </c>
      <c r="F227" t="s">
        <v>3547</v>
      </c>
      <c r="G227" t="s">
        <v>4159</v>
      </c>
    </row>
    <row r="228" spans="1:7" ht="11.25" customHeight="1">
      <c r="A228" t="s">
        <v>16</v>
      </c>
      <c r="B228" t="s">
        <v>4151</v>
      </c>
      <c r="C228" t="s">
        <v>4152</v>
      </c>
      <c r="D228" t="s">
        <v>4160</v>
      </c>
      <c r="E228" t="s">
        <v>4161</v>
      </c>
      <c r="F228" t="s">
        <v>3547</v>
      </c>
      <c r="G228" t="s">
        <v>4162</v>
      </c>
    </row>
    <row r="229" spans="1:7" ht="11.25" customHeight="1">
      <c r="A229" t="s">
        <v>16</v>
      </c>
      <c r="B229" t="s">
        <v>4151</v>
      </c>
      <c r="C229" t="s">
        <v>4152</v>
      </c>
      <c r="D229" t="s">
        <v>4163</v>
      </c>
      <c r="E229" t="s">
        <v>4164</v>
      </c>
      <c r="F229" t="s">
        <v>3547</v>
      </c>
      <c r="G229" t="s">
        <v>4165</v>
      </c>
    </row>
    <row r="230" spans="1:7" ht="11.25" customHeight="1">
      <c r="A230" t="s">
        <v>16</v>
      </c>
      <c r="B230" t="s">
        <v>4151</v>
      </c>
      <c r="C230" t="s">
        <v>4152</v>
      </c>
      <c r="D230" t="s">
        <v>4166</v>
      </c>
      <c r="E230" t="s">
        <v>4167</v>
      </c>
      <c r="F230" t="s">
        <v>3547</v>
      </c>
      <c r="G230" t="s">
        <v>4168</v>
      </c>
    </row>
    <row r="231" spans="1:7" ht="11.25" customHeight="1">
      <c r="A231" t="s">
        <v>16</v>
      </c>
      <c r="B231" t="s">
        <v>4151</v>
      </c>
      <c r="C231" t="s">
        <v>4152</v>
      </c>
      <c r="D231" t="s">
        <v>4169</v>
      </c>
      <c r="E231" t="s">
        <v>4170</v>
      </c>
      <c r="F231" t="s">
        <v>3547</v>
      </c>
      <c r="G231" t="s">
        <v>4171</v>
      </c>
    </row>
    <row r="232" spans="1:7" ht="11.25" customHeight="1">
      <c r="A232" t="s">
        <v>16</v>
      </c>
      <c r="B232" t="s">
        <v>4151</v>
      </c>
      <c r="C232" t="s">
        <v>4152</v>
      </c>
      <c r="D232" t="s">
        <v>4172</v>
      </c>
      <c r="E232" t="s">
        <v>4173</v>
      </c>
      <c r="F232" t="s">
        <v>3547</v>
      </c>
      <c r="G232" t="s">
        <v>4174</v>
      </c>
    </row>
    <row r="233" spans="1:7" ht="11.25" customHeight="1">
      <c r="A233" t="s">
        <v>16</v>
      </c>
      <c r="B233" t="s">
        <v>4151</v>
      </c>
      <c r="C233" t="s">
        <v>4152</v>
      </c>
      <c r="D233" t="s">
        <v>4175</v>
      </c>
      <c r="E233" t="s">
        <v>4176</v>
      </c>
      <c r="F233" t="s">
        <v>3547</v>
      </c>
      <c r="G233" t="s">
        <v>4177</v>
      </c>
    </row>
    <row r="234" spans="1:7" ht="11.25" customHeight="1">
      <c r="A234" t="s">
        <v>16</v>
      </c>
      <c r="B234" t="s">
        <v>4151</v>
      </c>
      <c r="C234" t="s">
        <v>4152</v>
      </c>
      <c r="D234" t="s">
        <v>4178</v>
      </c>
      <c r="E234" t="s">
        <v>4179</v>
      </c>
      <c r="F234" t="s">
        <v>3547</v>
      </c>
      <c r="G234" t="s">
        <v>4180</v>
      </c>
    </row>
    <row r="235" spans="1:7" ht="11.25" customHeight="1">
      <c r="A235" t="s">
        <v>16</v>
      </c>
      <c r="B235" t="s">
        <v>4151</v>
      </c>
      <c r="C235" t="s">
        <v>4152</v>
      </c>
      <c r="D235" t="s">
        <v>4181</v>
      </c>
      <c r="E235" t="s">
        <v>4182</v>
      </c>
      <c r="F235" t="s">
        <v>3547</v>
      </c>
      <c r="G235" t="s">
        <v>4183</v>
      </c>
    </row>
    <row r="236" spans="1:7" ht="11.25" customHeight="1">
      <c r="A236" t="s">
        <v>16</v>
      </c>
      <c r="B236" t="s">
        <v>4151</v>
      </c>
      <c r="C236" t="s">
        <v>4152</v>
      </c>
      <c r="D236" t="s">
        <v>4184</v>
      </c>
      <c r="E236" t="s">
        <v>4185</v>
      </c>
      <c r="F236" t="s">
        <v>3547</v>
      </c>
      <c r="G236" t="s">
        <v>4186</v>
      </c>
    </row>
    <row r="237" spans="1:7" ht="11.25" customHeight="1">
      <c r="A237" t="s">
        <v>16</v>
      </c>
      <c r="B237" t="s">
        <v>4151</v>
      </c>
      <c r="C237" t="s">
        <v>4152</v>
      </c>
      <c r="D237" t="s">
        <v>4187</v>
      </c>
      <c r="E237" t="s">
        <v>4188</v>
      </c>
      <c r="F237" t="s">
        <v>3547</v>
      </c>
      <c r="G237" t="s">
        <v>4189</v>
      </c>
    </row>
    <row r="238" spans="1:7" ht="11.25" customHeight="1">
      <c r="A238" t="s">
        <v>16</v>
      </c>
      <c r="B238" t="s">
        <v>4190</v>
      </c>
      <c r="C238" t="s">
        <v>4191</v>
      </c>
      <c r="D238" t="s">
        <v>4192</v>
      </c>
      <c r="E238" t="s">
        <v>4193</v>
      </c>
      <c r="F238" t="s">
        <v>3547</v>
      </c>
      <c r="G238" t="s">
        <v>4194</v>
      </c>
    </row>
    <row r="239" spans="1:7" ht="11.25" customHeight="1">
      <c r="A239" t="s">
        <v>16</v>
      </c>
      <c r="B239" t="s">
        <v>4190</v>
      </c>
      <c r="C239" t="s">
        <v>4191</v>
      </c>
      <c r="D239" t="s">
        <v>4190</v>
      </c>
      <c r="E239" t="s">
        <v>4191</v>
      </c>
      <c r="F239" t="s">
        <v>3544</v>
      </c>
      <c r="G239" t="s">
        <v>4195</v>
      </c>
    </row>
    <row r="240" spans="1:7" ht="11.25" customHeight="1">
      <c r="A240" t="s">
        <v>16</v>
      </c>
      <c r="B240" t="s">
        <v>4190</v>
      </c>
      <c r="C240" t="s">
        <v>4191</v>
      </c>
      <c r="D240" t="s">
        <v>4196</v>
      </c>
      <c r="E240" t="s">
        <v>4197</v>
      </c>
      <c r="F240" t="s">
        <v>3552</v>
      </c>
      <c r="G240" t="s">
        <v>4198</v>
      </c>
    </row>
    <row r="241" spans="1:7" ht="11.25" customHeight="1">
      <c r="A241" t="s">
        <v>16</v>
      </c>
      <c r="B241" t="s">
        <v>4190</v>
      </c>
      <c r="C241" t="s">
        <v>4191</v>
      </c>
      <c r="D241" t="s">
        <v>4199</v>
      </c>
      <c r="E241" t="s">
        <v>4200</v>
      </c>
      <c r="F241" t="s">
        <v>3547</v>
      </c>
      <c r="G241" t="s">
        <v>4201</v>
      </c>
    </row>
    <row r="242" spans="1:7" ht="11.25" customHeight="1">
      <c r="A242" t="s">
        <v>16</v>
      </c>
      <c r="B242" t="s">
        <v>4190</v>
      </c>
      <c r="C242" t="s">
        <v>4191</v>
      </c>
      <c r="D242" t="s">
        <v>4202</v>
      </c>
      <c r="E242" t="s">
        <v>4203</v>
      </c>
      <c r="F242" t="s">
        <v>3547</v>
      </c>
      <c r="G242" t="s">
        <v>4204</v>
      </c>
    </row>
    <row r="243" spans="1:7" ht="11.25" customHeight="1">
      <c r="A243" t="s">
        <v>16</v>
      </c>
      <c r="B243" t="s">
        <v>4190</v>
      </c>
      <c r="C243" t="s">
        <v>4191</v>
      </c>
      <c r="D243" t="s">
        <v>4205</v>
      </c>
      <c r="E243" t="s">
        <v>4206</v>
      </c>
      <c r="F243" t="s">
        <v>3547</v>
      </c>
      <c r="G243" t="s">
        <v>4207</v>
      </c>
    </row>
    <row r="244" spans="1:7" ht="11.25" customHeight="1">
      <c r="A244" t="s">
        <v>16</v>
      </c>
      <c r="B244" t="s">
        <v>4190</v>
      </c>
      <c r="C244" t="s">
        <v>4191</v>
      </c>
      <c r="D244" t="s">
        <v>4208</v>
      </c>
      <c r="E244" t="s">
        <v>4209</v>
      </c>
      <c r="F244" t="s">
        <v>3547</v>
      </c>
      <c r="G244" t="s">
        <v>4210</v>
      </c>
    </row>
    <row r="245" spans="1:7" ht="11.25" customHeight="1">
      <c r="A245" t="s">
        <v>16</v>
      </c>
      <c r="B245" t="s">
        <v>4190</v>
      </c>
      <c r="C245" t="s">
        <v>4191</v>
      </c>
      <c r="D245" t="s">
        <v>4211</v>
      </c>
      <c r="E245" t="s">
        <v>4212</v>
      </c>
      <c r="F245" t="s">
        <v>3547</v>
      </c>
      <c r="G245" t="s">
        <v>4213</v>
      </c>
    </row>
    <row r="246" spans="1:7" ht="11.25" customHeight="1">
      <c r="A246" t="s">
        <v>16</v>
      </c>
      <c r="B246" t="s">
        <v>4190</v>
      </c>
      <c r="C246" t="s">
        <v>4191</v>
      </c>
      <c r="D246" t="s">
        <v>4214</v>
      </c>
      <c r="E246" t="s">
        <v>4215</v>
      </c>
      <c r="F246" t="s">
        <v>3547</v>
      </c>
      <c r="G246" t="s">
        <v>4216</v>
      </c>
    </row>
    <row r="247" spans="1:7" ht="11.25" customHeight="1">
      <c r="A247" t="s">
        <v>16</v>
      </c>
      <c r="B247" t="s">
        <v>4190</v>
      </c>
      <c r="C247" t="s">
        <v>4191</v>
      </c>
      <c r="D247" t="s">
        <v>4217</v>
      </c>
      <c r="E247" t="s">
        <v>4218</v>
      </c>
      <c r="F247" t="s">
        <v>3547</v>
      </c>
      <c r="G247" t="s">
        <v>4219</v>
      </c>
    </row>
    <row r="248" spans="1:7" ht="11.25" customHeight="1">
      <c r="A248" t="s">
        <v>16</v>
      </c>
      <c r="B248" t="s">
        <v>4190</v>
      </c>
      <c r="C248" t="s">
        <v>4191</v>
      </c>
      <c r="D248" t="s">
        <v>4220</v>
      </c>
      <c r="E248" t="s">
        <v>4221</v>
      </c>
      <c r="F248" t="s">
        <v>3547</v>
      </c>
      <c r="G248" t="s">
        <v>4222</v>
      </c>
    </row>
    <row r="249" spans="1:7" ht="11.25" customHeight="1">
      <c r="A249" t="s">
        <v>16</v>
      </c>
      <c r="B249" t="s">
        <v>4190</v>
      </c>
      <c r="C249" t="s">
        <v>4191</v>
      </c>
      <c r="D249" t="s">
        <v>4223</v>
      </c>
      <c r="E249" t="s">
        <v>4224</v>
      </c>
      <c r="F249" t="s">
        <v>3547</v>
      </c>
      <c r="G249" t="s">
        <v>4225</v>
      </c>
    </row>
    <row r="250" spans="1:7" ht="11.25" customHeight="1">
      <c r="A250" t="s">
        <v>16</v>
      </c>
      <c r="B250" t="s">
        <v>4190</v>
      </c>
      <c r="C250" t="s">
        <v>4191</v>
      </c>
      <c r="D250" t="s">
        <v>4226</v>
      </c>
      <c r="E250" t="s">
        <v>4227</v>
      </c>
      <c r="F250" t="s">
        <v>3547</v>
      </c>
      <c r="G250" t="s">
        <v>4228</v>
      </c>
    </row>
    <row r="251" spans="1:7" ht="11.25" customHeight="1">
      <c r="A251" t="s">
        <v>16</v>
      </c>
      <c r="B251" t="s">
        <v>4190</v>
      </c>
      <c r="C251" t="s">
        <v>4191</v>
      </c>
      <c r="D251" t="s">
        <v>4229</v>
      </c>
      <c r="E251" t="s">
        <v>4230</v>
      </c>
      <c r="F251" t="s">
        <v>3547</v>
      </c>
      <c r="G251" t="s">
        <v>4231</v>
      </c>
    </row>
    <row r="252" spans="1:7" ht="11.25" customHeight="1">
      <c r="A252" t="s">
        <v>16</v>
      </c>
      <c r="B252" t="s">
        <v>4190</v>
      </c>
      <c r="C252" t="s">
        <v>4191</v>
      </c>
      <c r="D252" t="s">
        <v>4232</v>
      </c>
      <c r="E252" t="s">
        <v>4233</v>
      </c>
      <c r="F252" t="s">
        <v>3547</v>
      </c>
      <c r="G252" t="s">
        <v>4234</v>
      </c>
    </row>
    <row r="253" spans="1:7" ht="11.25" customHeight="1">
      <c r="A253" t="s">
        <v>16</v>
      </c>
      <c r="B253" t="s">
        <v>4235</v>
      </c>
      <c r="C253" t="s">
        <v>4236</v>
      </c>
      <c r="D253" t="s">
        <v>4235</v>
      </c>
      <c r="E253" t="s">
        <v>4236</v>
      </c>
      <c r="F253" t="s">
        <v>3544</v>
      </c>
      <c r="G253" t="s">
        <v>4237</v>
      </c>
    </row>
    <row r="254" spans="1:7" ht="11.25" customHeight="1">
      <c r="A254" t="s">
        <v>16</v>
      </c>
      <c r="B254" t="s">
        <v>4235</v>
      </c>
      <c r="C254" t="s">
        <v>4236</v>
      </c>
      <c r="D254" t="s">
        <v>4238</v>
      </c>
      <c r="E254" t="s">
        <v>4239</v>
      </c>
      <c r="F254" t="s">
        <v>3547</v>
      </c>
      <c r="G254" t="s">
        <v>4240</v>
      </c>
    </row>
    <row r="255" spans="1:7" ht="11.25" customHeight="1">
      <c r="A255" t="s">
        <v>16</v>
      </c>
      <c r="B255" t="s">
        <v>4235</v>
      </c>
      <c r="C255" t="s">
        <v>4236</v>
      </c>
      <c r="D255" t="s">
        <v>4241</v>
      </c>
      <c r="E255" t="s">
        <v>4242</v>
      </c>
      <c r="F255" t="s">
        <v>3547</v>
      </c>
      <c r="G255" t="s">
        <v>4243</v>
      </c>
    </row>
    <row r="256" spans="1:7" ht="11.25" customHeight="1">
      <c r="A256" t="s">
        <v>16</v>
      </c>
      <c r="B256" t="s">
        <v>4235</v>
      </c>
      <c r="C256" t="s">
        <v>4236</v>
      </c>
      <c r="D256" t="s">
        <v>4244</v>
      </c>
      <c r="E256" t="s">
        <v>4245</v>
      </c>
      <c r="F256" t="s">
        <v>3547</v>
      </c>
      <c r="G256" t="s">
        <v>4246</v>
      </c>
    </row>
    <row r="257" spans="1:7" ht="11.25" customHeight="1">
      <c r="A257" t="s">
        <v>16</v>
      </c>
      <c r="B257" t="s">
        <v>4235</v>
      </c>
      <c r="C257" t="s">
        <v>4236</v>
      </c>
      <c r="D257" t="s">
        <v>4247</v>
      </c>
      <c r="E257" t="s">
        <v>4248</v>
      </c>
      <c r="F257" t="s">
        <v>3547</v>
      </c>
      <c r="G257" t="s">
        <v>4249</v>
      </c>
    </row>
    <row r="258" spans="1:7" ht="11.25" customHeight="1">
      <c r="A258" t="s">
        <v>16</v>
      </c>
      <c r="B258" t="s">
        <v>4235</v>
      </c>
      <c r="C258" t="s">
        <v>4236</v>
      </c>
      <c r="D258" t="s">
        <v>4250</v>
      </c>
      <c r="E258" t="s">
        <v>4251</v>
      </c>
      <c r="F258" t="s">
        <v>3547</v>
      </c>
      <c r="G258" t="s">
        <v>4252</v>
      </c>
    </row>
    <row r="259" spans="1:7" ht="11.25" customHeight="1">
      <c r="A259" t="s">
        <v>16</v>
      </c>
      <c r="B259" t="s">
        <v>4235</v>
      </c>
      <c r="C259" t="s">
        <v>4236</v>
      </c>
      <c r="D259" t="s">
        <v>4253</v>
      </c>
      <c r="E259" t="s">
        <v>4254</v>
      </c>
      <c r="F259" t="s">
        <v>3547</v>
      </c>
      <c r="G259" t="s">
        <v>4255</v>
      </c>
    </row>
    <row r="260" spans="1:7" ht="11.25" customHeight="1">
      <c r="A260" t="s">
        <v>16</v>
      </c>
      <c r="B260" t="s">
        <v>4235</v>
      </c>
      <c r="C260" t="s">
        <v>4236</v>
      </c>
      <c r="D260" t="s">
        <v>4256</v>
      </c>
      <c r="E260" t="s">
        <v>4257</v>
      </c>
      <c r="F260" t="s">
        <v>3547</v>
      </c>
      <c r="G260" t="s">
        <v>4258</v>
      </c>
    </row>
    <row r="261" spans="1:7" ht="11.25" customHeight="1">
      <c r="A261" t="s">
        <v>16</v>
      </c>
      <c r="B261" t="s">
        <v>4235</v>
      </c>
      <c r="C261" t="s">
        <v>4236</v>
      </c>
      <c r="D261" t="s">
        <v>4259</v>
      </c>
      <c r="E261" t="s">
        <v>4260</v>
      </c>
      <c r="F261" t="s">
        <v>3547</v>
      </c>
      <c r="G261" t="s">
        <v>4261</v>
      </c>
    </row>
    <row r="262" spans="1:7" ht="11.25" customHeight="1">
      <c r="A262" t="s">
        <v>16</v>
      </c>
      <c r="B262" t="s">
        <v>4235</v>
      </c>
      <c r="C262" t="s">
        <v>4236</v>
      </c>
      <c r="D262" t="s">
        <v>4262</v>
      </c>
      <c r="E262" t="s">
        <v>4263</v>
      </c>
      <c r="F262" t="s">
        <v>3547</v>
      </c>
      <c r="G262" t="s">
        <v>4264</v>
      </c>
    </row>
    <row r="263" spans="1:7" ht="11.25" customHeight="1">
      <c r="A263" t="s">
        <v>16</v>
      </c>
      <c r="B263" t="s">
        <v>4235</v>
      </c>
      <c r="C263" t="s">
        <v>4236</v>
      </c>
      <c r="D263" t="s">
        <v>4265</v>
      </c>
      <c r="E263" t="s">
        <v>4266</v>
      </c>
      <c r="F263" t="s">
        <v>3547</v>
      </c>
      <c r="G263" t="s">
        <v>4267</v>
      </c>
    </row>
    <row r="264" spans="1:7" ht="11.25" customHeight="1">
      <c r="A264" t="s">
        <v>16</v>
      </c>
      <c r="B264" t="s">
        <v>4235</v>
      </c>
      <c r="C264" t="s">
        <v>4236</v>
      </c>
      <c r="D264" t="s">
        <v>4268</v>
      </c>
      <c r="E264" t="s">
        <v>4269</v>
      </c>
      <c r="F264" t="s">
        <v>3547</v>
      </c>
      <c r="G264" t="s">
        <v>4270</v>
      </c>
    </row>
    <row r="265" spans="1:7" ht="11.25" customHeight="1">
      <c r="A265" t="s">
        <v>16</v>
      </c>
      <c r="B265" t="s">
        <v>4235</v>
      </c>
      <c r="C265" t="s">
        <v>4236</v>
      </c>
      <c r="D265" t="s">
        <v>4271</v>
      </c>
      <c r="E265" t="s">
        <v>4272</v>
      </c>
      <c r="F265" t="s">
        <v>3547</v>
      </c>
      <c r="G265" t="s">
        <v>4273</v>
      </c>
    </row>
    <row r="266" spans="1:7" ht="11.25" customHeight="1">
      <c r="A266" t="s">
        <v>16</v>
      </c>
      <c r="B266" t="s">
        <v>4235</v>
      </c>
      <c r="C266" t="s">
        <v>4236</v>
      </c>
      <c r="D266" t="s">
        <v>4274</v>
      </c>
      <c r="E266" t="s">
        <v>4275</v>
      </c>
      <c r="F266" t="s">
        <v>3547</v>
      </c>
      <c r="G266" t="s">
        <v>4276</v>
      </c>
    </row>
    <row r="267" spans="1:7" ht="11.25" customHeight="1">
      <c r="A267" t="s">
        <v>16</v>
      </c>
      <c r="B267" t="s">
        <v>4235</v>
      </c>
      <c r="C267" t="s">
        <v>4236</v>
      </c>
      <c r="D267" t="s">
        <v>4277</v>
      </c>
      <c r="E267" t="s">
        <v>4278</v>
      </c>
      <c r="F267" t="s">
        <v>3547</v>
      </c>
      <c r="G267" t="s">
        <v>4279</v>
      </c>
    </row>
    <row r="268" spans="1:7" ht="11.25" customHeight="1">
      <c r="A268" t="s">
        <v>16</v>
      </c>
      <c r="B268" t="s">
        <v>4235</v>
      </c>
      <c r="C268" t="s">
        <v>4236</v>
      </c>
      <c r="D268" t="s">
        <v>4280</v>
      </c>
      <c r="E268" t="s">
        <v>4281</v>
      </c>
      <c r="F268" t="s">
        <v>3547</v>
      </c>
      <c r="G268" t="s">
        <v>4282</v>
      </c>
    </row>
    <row r="269" spans="1:7" ht="11.25" customHeight="1">
      <c r="A269" t="s">
        <v>16</v>
      </c>
      <c r="B269" t="s">
        <v>4235</v>
      </c>
      <c r="C269" t="s">
        <v>4236</v>
      </c>
      <c r="D269" t="s">
        <v>4283</v>
      </c>
      <c r="E269" t="s">
        <v>4284</v>
      </c>
      <c r="F269" t="s">
        <v>3547</v>
      </c>
      <c r="G269" t="s">
        <v>4285</v>
      </c>
    </row>
    <row r="270" spans="1:7" ht="11.25" customHeight="1">
      <c r="A270" t="s">
        <v>16</v>
      </c>
      <c r="B270" t="s">
        <v>4235</v>
      </c>
      <c r="C270" t="s">
        <v>4236</v>
      </c>
      <c r="D270" t="s">
        <v>4286</v>
      </c>
      <c r="E270" t="s">
        <v>4287</v>
      </c>
      <c r="F270" t="s">
        <v>3547</v>
      </c>
      <c r="G270" t="s">
        <v>4288</v>
      </c>
    </row>
    <row r="271" spans="1:7" ht="11.25" customHeight="1">
      <c r="A271" t="s">
        <v>16</v>
      </c>
      <c r="B271" t="s">
        <v>4235</v>
      </c>
      <c r="C271" t="s">
        <v>4236</v>
      </c>
      <c r="D271" t="s">
        <v>4289</v>
      </c>
      <c r="E271" t="s">
        <v>4290</v>
      </c>
      <c r="F271" t="s">
        <v>3649</v>
      </c>
      <c r="G271" t="s">
        <v>4291</v>
      </c>
    </row>
    <row r="272" spans="1:7" ht="11.25" customHeight="1">
      <c r="A272" t="s">
        <v>16</v>
      </c>
      <c r="B272" t="s">
        <v>4292</v>
      </c>
      <c r="C272" t="s">
        <v>4293</v>
      </c>
      <c r="D272" t="s">
        <v>4294</v>
      </c>
      <c r="E272" t="s">
        <v>4295</v>
      </c>
      <c r="F272" t="s">
        <v>3547</v>
      </c>
      <c r="G272" t="s">
        <v>4296</v>
      </c>
    </row>
    <row r="273" spans="1:7" ht="11.25" customHeight="1">
      <c r="A273" t="s">
        <v>16</v>
      </c>
      <c r="B273" t="s">
        <v>4292</v>
      </c>
      <c r="C273" t="s">
        <v>4293</v>
      </c>
      <c r="D273" t="s">
        <v>4297</v>
      </c>
      <c r="E273" t="s">
        <v>4298</v>
      </c>
      <c r="F273" t="s">
        <v>3547</v>
      </c>
      <c r="G273" t="s">
        <v>4299</v>
      </c>
    </row>
    <row r="274" spans="1:7" ht="11.25" customHeight="1">
      <c r="A274" t="s">
        <v>16</v>
      </c>
      <c r="B274" t="s">
        <v>4292</v>
      </c>
      <c r="C274" t="s">
        <v>4293</v>
      </c>
      <c r="D274" t="s">
        <v>4300</v>
      </c>
      <c r="E274" t="s">
        <v>4301</v>
      </c>
      <c r="F274" t="s">
        <v>3547</v>
      </c>
      <c r="G274" t="s">
        <v>4302</v>
      </c>
    </row>
    <row r="275" spans="1:7" ht="11.25" customHeight="1">
      <c r="A275" t="s">
        <v>16</v>
      </c>
      <c r="B275" t="s">
        <v>4292</v>
      </c>
      <c r="C275" t="s">
        <v>4293</v>
      </c>
      <c r="D275" t="s">
        <v>4292</v>
      </c>
      <c r="E275" t="s">
        <v>4293</v>
      </c>
      <c r="F275" t="s">
        <v>3544</v>
      </c>
      <c r="G275" t="s">
        <v>4303</v>
      </c>
    </row>
    <row r="276" spans="1:7" ht="11.25" customHeight="1">
      <c r="A276" t="s">
        <v>16</v>
      </c>
      <c r="B276" t="s">
        <v>4292</v>
      </c>
      <c r="C276" t="s">
        <v>4293</v>
      </c>
      <c r="D276" t="s">
        <v>4304</v>
      </c>
      <c r="E276" t="s">
        <v>4305</v>
      </c>
      <c r="F276" t="s">
        <v>3547</v>
      </c>
      <c r="G276" t="s">
        <v>4306</v>
      </c>
    </row>
    <row r="277" spans="1:7" ht="11.25" customHeight="1">
      <c r="A277" t="s">
        <v>16</v>
      </c>
      <c r="B277" t="s">
        <v>4292</v>
      </c>
      <c r="C277" t="s">
        <v>4293</v>
      </c>
      <c r="D277" t="s">
        <v>4307</v>
      </c>
      <c r="E277" t="s">
        <v>4308</v>
      </c>
      <c r="F277" t="s">
        <v>3547</v>
      </c>
      <c r="G277" t="s">
        <v>4309</v>
      </c>
    </row>
    <row r="278" spans="1:7" ht="11.25" customHeight="1">
      <c r="A278" t="s">
        <v>16</v>
      </c>
      <c r="B278" t="s">
        <v>4292</v>
      </c>
      <c r="C278" t="s">
        <v>4293</v>
      </c>
      <c r="D278" t="s">
        <v>4310</v>
      </c>
      <c r="E278" t="s">
        <v>4311</v>
      </c>
      <c r="F278" t="s">
        <v>3552</v>
      </c>
      <c r="G278" t="s">
        <v>4312</v>
      </c>
    </row>
    <row r="279" spans="1:7" ht="11.25" customHeight="1">
      <c r="A279" t="s">
        <v>16</v>
      </c>
      <c r="B279" t="s">
        <v>4292</v>
      </c>
      <c r="C279" t="s">
        <v>4293</v>
      </c>
      <c r="D279" t="s">
        <v>4313</v>
      </c>
      <c r="E279" t="s">
        <v>4314</v>
      </c>
      <c r="F279" t="s">
        <v>3547</v>
      </c>
      <c r="G279" t="s">
        <v>4315</v>
      </c>
    </row>
    <row r="280" spans="1:7" ht="11.25" customHeight="1">
      <c r="A280" t="s">
        <v>16</v>
      </c>
      <c r="B280" t="s">
        <v>4292</v>
      </c>
      <c r="C280" t="s">
        <v>4293</v>
      </c>
      <c r="D280" t="s">
        <v>4316</v>
      </c>
      <c r="E280" t="s">
        <v>4317</v>
      </c>
      <c r="F280" t="s">
        <v>3547</v>
      </c>
      <c r="G280" t="s">
        <v>4318</v>
      </c>
    </row>
    <row r="281" spans="1:7" ht="11.25" customHeight="1">
      <c r="A281" t="s">
        <v>16</v>
      </c>
      <c r="B281" t="s">
        <v>4292</v>
      </c>
      <c r="C281" t="s">
        <v>4293</v>
      </c>
      <c r="D281" t="s">
        <v>3569</v>
      </c>
      <c r="E281" t="s">
        <v>4319</v>
      </c>
      <c r="F281" t="s">
        <v>3547</v>
      </c>
      <c r="G281" t="s">
        <v>4320</v>
      </c>
    </row>
    <row r="282" spans="1:7" ht="11.25" customHeight="1">
      <c r="A282" t="s">
        <v>16</v>
      </c>
      <c r="B282" t="s">
        <v>4292</v>
      </c>
      <c r="C282" t="s">
        <v>4293</v>
      </c>
      <c r="D282" t="s">
        <v>4321</v>
      </c>
      <c r="E282" t="s">
        <v>4322</v>
      </c>
      <c r="F282" t="s">
        <v>3547</v>
      </c>
      <c r="G282" t="s">
        <v>4323</v>
      </c>
    </row>
    <row r="283" spans="1:7" ht="11.25" customHeight="1">
      <c r="A283" t="s">
        <v>16</v>
      </c>
      <c r="B283" t="s">
        <v>4292</v>
      </c>
      <c r="C283" t="s">
        <v>4293</v>
      </c>
      <c r="D283" t="s">
        <v>4324</v>
      </c>
      <c r="E283" t="s">
        <v>4325</v>
      </c>
      <c r="F283" t="s">
        <v>3547</v>
      </c>
      <c r="G283" t="s">
        <v>4326</v>
      </c>
    </row>
    <row r="284" spans="1:7" ht="11.25" customHeight="1">
      <c r="A284" t="s">
        <v>16</v>
      </c>
      <c r="B284" t="s">
        <v>4292</v>
      </c>
      <c r="C284" t="s">
        <v>4293</v>
      </c>
      <c r="D284" t="s">
        <v>4327</v>
      </c>
      <c r="E284" t="s">
        <v>4328</v>
      </c>
      <c r="F284" t="s">
        <v>3547</v>
      </c>
      <c r="G284" t="s">
        <v>4329</v>
      </c>
    </row>
    <row r="285" spans="1:7" ht="11.25" customHeight="1">
      <c r="A285" t="s">
        <v>16</v>
      </c>
      <c r="B285" t="s">
        <v>4292</v>
      </c>
      <c r="C285" t="s">
        <v>4293</v>
      </c>
      <c r="D285" t="s">
        <v>4330</v>
      </c>
      <c r="E285" t="s">
        <v>4331</v>
      </c>
      <c r="F285" t="s">
        <v>3547</v>
      </c>
      <c r="G285" t="s">
        <v>4332</v>
      </c>
    </row>
    <row r="286" spans="1:7" ht="11.25" customHeight="1">
      <c r="A286" t="s">
        <v>16</v>
      </c>
      <c r="B286" t="s">
        <v>4292</v>
      </c>
      <c r="C286" t="s">
        <v>4293</v>
      </c>
      <c r="D286" t="s">
        <v>4333</v>
      </c>
      <c r="E286" t="s">
        <v>4334</v>
      </c>
      <c r="F286" t="s">
        <v>3547</v>
      </c>
      <c r="G286" t="s">
        <v>4335</v>
      </c>
    </row>
    <row r="287" spans="1:7" ht="11.25" customHeight="1">
      <c r="A287" t="s">
        <v>16</v>
      </c>
      <c r="B287" t="s">
        <v>4292</v>
      </c>
      <c r="C287" t="s">
        <v>4293</v>
      </c>
      <c r="D287" t="s">
        <v>4336</v>
      </c>
      <c r="E287" t="s">
        <v>4337</v>
      </c>
      <c r="F287" t="s">
        <v>3547</v>
      </c>
      <c r="G287" t="s">
        <v>4338</v>
      </c>
    </row>
    <row r="288" spans="1:7" ht="11.25" customHeight="1">
      <c r="A288" t="s">
        <v>16</v>
      </c>
      <c r="B288" t="s">
        <v>4292</v>
      </c>
      <c r="C288" t="s">
        <v>4293</v>
      </c>
      <c r="D288" t="s">
        <v>4339</v>
      </c>
      <c r="E288" t="s">
        <v>4340</v>
      </c>
      <c r="F288" t="s">
        <v>3547</v>
      </c>
      <c r="G288" t="s">
        <v>4341</v>
      </c>
    </row>
    <row r="289" spans="1:7" ht="11.25" customHeight="1">
      <c r="A289" t="s">
        <v>16</v>
      </c>
      <c r="B289" t="s">
        <v>4292</v>
      </c>
      <c r="C289" t="s">
        <v>4293</v>
      </c>
      <c r="D289" t="s">
        <v>4342</v>
      </c>
      <c r="E289" t="s">
        <v>4343</v>
      </c>
      <c r="F289" t="s">
        <v>3547</v>
      </c>
      <c r="G289" t="s">
        <v>4344</v>
      </c>
    </row>
    <row r="290" spans="1:7" ht="11.25" customHeight="1">
      <c r="A290" t="s">
        <v>16</v>
      </c>
      <c r="B290" t="s">
        <v>4292</v>
      </c>
      <c r="C290" t="s">
        <v>4293</v>
      </c>
      <c r="D290" t="s">
        <v>4345</v>
      </c>
      <c r="E290" t="s">
        <v>4346</v>
      </c>
      <c r="F290" t="s">
        <v>3547</v>
      </c>
      <c r="G290" t="s">
        <v>4347</v>
      </c>
    </row>
    <row r="291" spans="1:7" ht="11.25" customHeight="1">
      <c r="A291" t="s">
        <v>16</v>
      </c>
      <c r="B291" t="s">
        <v>4292</v>
      </c>
      <c r="C291" t="s">
        <v>4293</v>
      </c>
      <c r="D291" t="s">
        <v>4348</v>
      </c>
      <c r="E291" t="s">
        <v>4349</v>
      </c>
      <c r="F291" t="s">
        <v>3649</v>
      </c>
      <c r="G291" t="s">
        <v>4350</v>
      </c>
    </row>
    <row r="292" spans="1:7" ht="11.25" customHeight="1">
      <c r="A292" t="s">
        <v>16</v>
      </c>
      <c r="B292" t="s">
        <v>4351</v>
      </c>
      <c r="C292" t="s">
        <v>4352</v>
      </c>
      <c r="D292" t="s">
        <v>4353</v>
      </c>
      <c r="E292" t="s">
        <v>4354</v>
      </c>
      <c r="F292" t="s">
        <v>3547</v>
      </c>
      <c r="G292" t="s">
        <v>4355</v>
      </c>
    </row>
    <row r="293" spans="1:7" ht="11.25" customHeight="1">
      <c r="A293" t="s">
        <v>16</v>
      </c>
      <c r="B293" t="s">
        <v>4351</v>
      </c>
      <c r="C293" t="s">
        <v>4352</v>
      </c>
      <c r="D293" t="s">
        <v>4356</v>
      </c>
      <c r="E293" t="s">
        <v>4357</v>
      </c>
      <c r="F293" t="s">
        <v>3547</v>
      </c>
      <c r="G293" t="s">
        <v>4358</v>
      </c>
    </row>
    <row r="294" spans="1:7" ht="11.25" customHeight="1">
      <c r="A294" t="s">
        <v>16</v>
      </c>
      <c r="B294" t="s">
        <v>4351</v>
      </c>
      <c r="C294" t="s">
        <v>4352</v>
      </c>
      <c r="D294" t="s">
        <v>4359</v>
      </c>
      <c r="E294" t="s">
        <v>4360</v>
      </c>
      <c r="F294" t="s">
        <v>3547</v>
      </c>
      <c r="G294" t="s">
        <v>4361</v>
      </c>
    </row>
    <row r="295" spans="1:7" ht="11.25" customHeight="1">
      <c r="A295" t="s">
        <v>16</v>
      </c>
      <c r="B295" t="s">
        <v>4351</v>
      </c>
      <c r="C295" t="s">
        <v>4352</v>
      </c>
      <c r="D295" t="s">
        <v>4362</v>
      </c>
      <c r="E295" t="s">
        <v>4363</v>
      </c>
      <c r="F295" t="s">
        <v>3547</v>
      </c>
      <c r="G295" t="s">
        <v>4364</v>
      </c>
    </row>
    <row r="296" spans="1:7" ht="11.25" customHeight="1">
      <c r="A296" t="s">
        <v>16</v>
      </c>
      <c r="B296" t="s">
        <v>4351</v>
      </c>
      <c r="C296" t="s">
        <v>4352</v>
      </c>
      <c r="D296" t="s">
        <v>4365</v>
      </c>
      <c r="E296" t="s">
        <v>4366</v>
      </c>
      <c r="F296" t="s">
        <v>3547</v>
      </c>
      <c r="G296" t="s">
        <v>4367</v>
      </c>
    </row>
    <row r="297" spans="1:7" ht="11.25" customHeight="1">
      <c r="A297" t="s">
        <v>16</v>
      </c>
      <c r="B297" t="s">
        <v>4351</v>
      </c>
      <c r="C297" t="s">
        <v>4352</v>
      </c>
      <c r="D297" t="s">
        <v>4368</v>
      </c>
      <c r="E297" t="s">
        <v>4369</v>
      </c>
      <c r="F297" t="s">
        <v>3547</v>
      </c>
      <c r="G297" t="s">
        <v>4370</v>
      </c>
    </row>
    <row r="298" spans="1:7" ht="11.25" customHeight="1">
      <c r="A298" t="s">
        <v>16</v>
      </c>
      <c r="B298" t="s">
        <v>4351</v>
      </c>
      <c r="C298" t="s">
        <v>4352</v>
      </c>
      <c r="D298" t="s">
        <v>4351</v>
      </c>
      <c r="E298" t="s">
        <v>4352</v>
      </c>
      <c r="F298" t="s">
        <v>3544</v>
      </c>
      <c r="G298" t="s">
        <v>4371</v>
      </c>
    </row>
    <row r="299" spans="1:7" ht="11.25" customHeight="1">
      <c r="A299" t="s">
        <v>16</v>
      </c>
      <c r="B299" t="s">
        <v>4351</v>
      </c>
      <c r="C299" t="s">
        <v>4352</v>
      </c>
      <c r="D299" t="s">
        <v>4372</v>
      </c>
      <c r="E299" t="s">
        <v>4373</v>
      </c>
      <c r="F299" t="s">
        <v>3547</v>
      </c>
      <c r="G299" t="s">
        <v>4374</v>
      </c>
    </row>
    <row r="300" spans="1:7" ht="11.25" customHeight="1">
      <c r="A300" t="s">
        <v>16</v>
      </c>
      <c r="B300" t="s">
        <v>4351</v>
      </c>
      <c r="C300" t="s">
        <v>4352</v>
      </c>
      <c r="D300" t="s">
        <v>4375</v>
      </c>
      <c r="E300" t="s">
        <v>4376</v>
      </c>
      <c r="F300" t="s">
        <v>3547</v>
      </c>
      <c r="G300" t="s">
        <v>4377</v>
      </c>
    </row>
    <row r="301" spans="1:7" ht="11.25" customHeight="1">
      <c r="A301" t="s">
        <v>16</v>
      </c>
      <c r="B301" t="s">
        <v>4351</v>
      </c>
      <c r="C301" t="s">
        <v>4352</v>
      </c>
      <c r="D301" t="s">
        <v>4378</v>
      </c>
      <c r="E301" t="s">
        <v>4379</v>
      </c>
      <c r="F301" t="s">
        <v>3552</v>
      </c>
      <c r="G301" t="s">
        <v>4380</v>
      </c>
    </row>
    <row r="302" spans="1:7" ht="11.25" customHeight="1">
      <c r="A302" t="s">
        <v>16</v>
      </c>
      <c r="B302" t="s">
        <v>4351</v>
      </c>
      <c r="C302" t="s">
        <v>4352</v>
      </c>
      <c r="D302" t="s">
        <v>4381</v>
      </c>
      <c r="E302" t="s">
        <v>4382</v>
      </c>
      <c r="F302" t="s">
        <v>3547</v>
      </c>
      <c r="G302" t="s">
        <v>4383</v>
      </c>
    </row>
    <row r="303" spans="1:7" ht="11.25" customHeight="1">
      <c r="A303" t="s">
        <v>16</v>
      </c>
      <c r="B303" t="s">
        <v>4351</v>
      </c>
      <c r="C303" t="s">
        <v>4352</v>
      </c>
      <c r="D303" t="s">
        <v>4384</v>
      </c>
      <c r="E303" t="s">
        <v>4385</v>
      </c>
      <c r="F303" t="s">
        <v>3547</v>
      </c>
      <c r="G303" t="s">
        <v>4386</v>
      </c>
    </row>
    <row r="304" spans="1:7" ht="11.25" customHeight="1">
      <c r="A304" t="s">
        <v>16</v>
      </c>
      <c r="B304" t="s">
        <v>4351</v>
      </c>
      <c r="C304" t="s">
        <v>4352</v>
      </c>
      <c r="D304" t="s">
        <v>4387</v>
      </c>
      <c r="E304" t="s">
        <v>4388</v>
      </c>
      <c r="F304" t="s">
        <v>3547</v>
      </c>
      <c r="G304" t="s">
        <v>4389</v>
      </c>
    </row>
    <row r="305" spans="1:7" ht="11.25" customHeight="1">
      <c r="A305" t="s">
        <v>16</v>
      </c>
      <c r="B305" t="s">
        <v>4351</v>
      </c>
      <c r="C305" t="s">
        <v>4352</v>
      </c>
      <c r="D305" t="s">
        <v>4390</v>
      </c>
      <c r="E305" t="s">
        <v>4391</v>
      </c>
      <c r="F305" t="s">
        <v>3547</v>
      </c>
      <c r="G305" t="s">
        <v>4392</v>
      </c>
    </row>
    <row r="306" spans="1:7" ht="11.25" customHeight="1">
      <c r="A306" t="s">
        <v>16</v>
      </c>
      <c r="B306" t="s">
        <v>4351</v>
      </c>
      <c r="C306" t="s">
        <v>4352</v>
      </c>
      <c r="D306" t="s">
        <v>4393</v>
      </c>
      <c r="E306" t="s">
        <v>4394</v>
      </c>
      <c r="F306" t="s">
        <v>3547</v>
      </c>
      <c r="G306" t="s">
        <v>4395</v>
      </c>
    </row>
    <row r="307" spans="1:7" ht="11.25" customHeight="1">
      <c r="A307" t="s">
        <v>16</v>
      </c>
      <c r="B307" t="s">
        <v>4351</v>
      </c>
      <c r="C307" t="s">
        <v>4352</v>
      </c>
      <c r="D307" t="s">
        <v>4396</v>
      </c>
      <c r="E307" t="s">
        <v>4397</v>
      </c>
      <c r="F307" t="s">
        <v>3547</v>
      </c>
      <c r="G307" t="s">
        <v>4398</v>
      </c>
    </row>
    <row r="308" spans="1:7" ht="11.25" customHeight="1">
      <c r="A308" t="s">
        <v>16</v>
      </c>
      <c r="B308" t="s">
        <v>4351</v>
      </c>
      <c r="C308" t="s">
        <v>4352</v>
      </c>
      <c r="D308" t="s">
        <v>4399</v>
      </c>
      <c r="E308" t="s">
        <v>4400</v>
      </c>
      <c r="F308" t="s">
        <v>3547</v>
      </c>
      <c r="G308" t="s">
        <v>4401</v>
      </c>
    </row>
    <row r="309" spans="1:7" ht="11.25" customHeight="1">
      <c r="A309" t="s">
        <v>16</v>
      </c>
      <c r="B309" t="s">
        <v>4351</v>
      </c>
      <c r="C309" t="s">
        <v>4352</v>
      </c>
      <c r="D309" t="s">
        <v>4402</v>
      </c>
      <c r="E309" t="s">
        <v>4403</v>
      </c>
      <c r="F309" t="s">
        <v>3547</v>
      </c>
      <c r="G309" t="s">
        <v>4404</v>
      </c>
    </row>
    <row r="310" spans="1:7" ht="11.25" customHeight="1">
      <c r="A310" t="s">
        <v>16</v>
      </c>
      <c r="B310" t="s">
        <v>4351</v>
      </c>
      <c r="C310" t="s">
        <v>4352</v>
      </c>
      <c r="D310" t="s">
        <v>4405</v>
      </c>
      <c r="E310" t="s">
        <v>4406</v>
      </c>
      <c r="F310" t="s">
        <v>3547</v>
      </c>
      <c r="G310" t="s">
        <v>4407</v>
      </c>
    </row>
    <row r="311" spans="1:7" ht="11.25" customHeight="1">
      <c r="A311" t="s">
        <v>16</v>
      </c>
      <c r="B311" t="s">
        <v>4351</v>
      </c>
      <c r="C311" t="s">
        <v>4352</v>
      </c>
      <c r="D311" t="s">
        <v>4408</v>
      </c>
      <c r="E311" t="s">
        <v>4409</v>
      </c>
      <c r="F311" t="s">
        <v>3547</v>
      </c>
      <c r="G311" t="s">
        <v>4410</v>
      </c>
    </row>
    <row r="312" spans="1:7" ht="11.25" customHeight="1">
      <c r="A312" t="s">
        <v>16</v>
      </c>
      <c r="B312" t="s">
        <v>4351</v>
      </c>
      <c r="C312" t="s">
        <v>4352</v>
      </c>
      <c r="D312" t="s">
        <v>4411</v>
      </c>
      <c r="E312" t="s">
        <v>4412</v>
      </c>
      <c r="F312" t="s">
        <v>3547</v>
      </c>
      <c r="G312" t="s">
        <v>4413</v>
      </c>
    </row>
    <row r="313" spans="1:7" ht="11.25" customHeight="1">
      <c r="A313" t="s">
        <v>16</v>
      </c>
      <c r="B313" t="s">
        <v>4351</v>
      </c>
      <c r="C313" t="s">
        <v>4352</v>
      </c>
      <c r="D313" t="s">
        <v>4414</v>
      </c>
      <c r="E313" t="s">
        <v>4415</v>
      </c>
      <c r="F313" t="s">
        <v>3547</v>
      </c>
      <c r="G313" t="s">
        <v>4416</v>
      </c>
    </row>
    <row r="314" spans="1:7" ht="11.25" customHeight="1">
      <c r="A314" t="s">
        <v>16</v>
      </c>
      <c r="B314" t="s">
        <v>4351</v>
      </c>
      <c r="C314" t="s">
        <v>4352</v>
      </c>
      <c r="D314" t="s">
        <v>4417</v>
      </c>
      <c r="E314" t="s">
        <v>4418</v>
      </c>
      <c r="F314" t="s">
        <v>3547</v>
      </c>
      <c r="G314" t="s">
        <v>4419</v>
      </c>
    </row>
    <row r="315" spans="1:7" ht="11.25" customHeight="1">
      <c r="A315" t="s">
        <v>16</v>
      </c>
      <c r="B315" t="s">
        <v>4351</v>
      </c>
      <c r="C315" t="s">
        <v>4352</v>
      </c>
      <c r="D315" t="s">
        <v>4420</v>
      </c>
      <c r="E315" t="s">
        <v>4421</v>
      </c>
      <c r="F315" t="s">
        <v>3547</v>
      </c>
      <c r="G315" t="s">
        <v>4422</v>
      </c>
    </row>
    <row r="316" spans="1:7" ht="11.25" customHeight="1">
      <c r="A316" t="s">
        <v>16</v>
      </c>
      <c r="B316" t="s">
        <v>4351</v>
      </c>
      <c r="C316" t="s">
        <v>4352</v>
      </c>
      <c r="D316" t="s">
        <v>4423</v>
      </c>
      <c r="E316" t="s">
        <v>4424</v>
      </c>
      <c r="F316" t="s">
        <v>3547</v>
      </c>
      <c r="G316" t="s">
        <v>4425</v>
      </c>
    </row>
    <row r="317" spans="1:7" ht="11.25" customHeight="1">
      <c r="A317" t="s">
        <v>16</v>
      </c>
      <c r="B317" t="s">
        <v>4351</v>
      </c>
      <c r="C317" t="s">
        <v>4352</v>
      </c>
      <c r="D317" t="s">
        <v>4426</v>
      </c>
      <c r="E317" t="s">
        <v>4427</v>
      </c>
      <c r="F317" t="s">
        <v>3547</v>
      </c>
      <c r="G317" t="s">
        <v>4428</v>
      </c>
    </row>
    <row r="318" spans="1:7" ht="11.25" customHeight="1">
      <c r="A318" t="s">
        <v>16</v>
      </c>
      <c r="B318" t="s">
        <v>4351</v>
      </c>
      <c r="C318" t="s">
        <v>4352</v>
      </c>
      <c r="D318" t="s">
        <v>4429</v>
      </c>
      <c r="E318" t="s">
        <v>4430</v>
      </c>
      <c r="F318" t="s">
        <v>3547</v>
      </c>
      <c r="G318" t="s">
        <v>4431</v>
      </c>
    </row>
    <row r="319" spans="1:7" ht="11.25" customHeight="1">
      <c r="A319" t="s">
        <v>16</v>
      </c>
      <c r="B319" t="s">
        <v>4351</v>
      </c>
      <c r="C319" t="s">
        <v>4352</v>
      </c>
      <c r="D319" t="s">
        <v>4432</v>
      </c>
      <c r="E319" t="s">
        <v>4433</v>
      </c>
      <c r="F319" t="s">
        <v>3547</v>
      </c>
      <c r="G319" t="s">
        <v>4434</v>
      </c>
    </row>
    <row r="320" spans="1:7" ht="11.25" customHeight="1">
      <c r="A320" t="s">
        <v>16</v>
      </c>
      <c r="B320" t="s">
        <v>4351</v>
      </c>
      <c r="C320" t="s">
        <v>4352</v>
      </c>
      <c r="D320" t="s">
        <v>4435</v>
      </c>
      <c r="E320" t="s">
        <v>4436</v>
      </c>
      <c r="F320" t="s">
        <v>3547</v>
      </c>
      <c r="G320" t="s">
        <v>4437</v>
      </c>
    </row>
    <row r="321" spans="1:7" ht="11.25" customHeight="1">
      <c r="A321" t="s">
        <v>16</v>
      </c>
      <c r="B321" t="s">
        <v>4351</v>
      </c>
      <c r="C321" t="s">
        <v>4352</v>
      </c>
      <c r="D321" t="s">
        <v>4438</v>
      </c>
      <c r="E321" t="s">
        <v>4439</v>
      </c>
      <c r="F321" t="s">
        <v>3547</v>
      </c>
      <c r="G321" t="s">
        <v>4440</v>
      </c>
    </row>
    <row r="322" spans="1:7" ht="11.25" customHeight="1">
      <c r="A322" t="s">
        <v>16</v>
      </c>
      <c r="B322" t="s">
        <v>4351</v>
      </c>
      <c r="C322" t="s">
        <v>4352</v>
      </c>
      <c r="D322" t="s">
        <v>4441</v>
      </c>
      <c r="E322" t="s">
        <v>4442</v>
      </c>
      <c r="F322" t="s">
        <v>3547</v>
      </c>
      <c r="G322" t="s">
        <v>4443</v>
      </c>
    </row>
    <row r="323" spans="1:7" ht="11.25" customHeight="1">
      <c r="A323" t="s">
        <v>16</v>
      </c>
      <c r="B323" t="s">
        <v>4351</v>
      </c>
      <c r="C323" t="s">
        <v>4352</v>
      </c>
      <c r="D323" t="s">
        <v>4444</v>
      </c>
      <c r="E323" t="s">
        <v>4445</v>
      </c>
      <c r="F323" t="s">
        <v>3547</v>
      </c>
      <c r="G323" t="s">
        <v>4446</v>
      </c>
    </row>
    <row r="324" spans="1:7" ht="11.25" customHeight="1">
      <c r="A324" t="s">
        <v>16</v>
      </c>
      <c r="B324" t="s">
        <v>4447</v>
      </c>
      <c r="C324" t="s">
        <v>4448</v>
      </c>
      <c r="D324" t="s">
        <v>4449</v>
      </c>
      <c r="E324" t="s">
        <v>4450</v>
      </c>
      <c r="F324" t="s">
        <v>3547</v>
      </c>
      <c r="G324" t="s">
        <v>4451</v>
      </c>
    </row>
    <row r="325" spans="1:7" ht="11.25" customHeight="1">
      <c r="A325" t="s">
        <v>16</v>
      </c>
      <c r="B325" t="s">
        <v>4447</v>
      </c>
      <c r="C325" t="s">
        <v>4448</v>
      </c>
      <c r="D325" t="s">
        <v>4452</v>
      </c>
      <c r="E325" t="s">
        <v>4453</v>
      </c>
      <c r="F325" t="s">
        <v>3547</v>
      </c>
      <c r="G325" t="s">
        <v>4454</v>
      </c>
    </row>
    <row r="326" spans="1:7" ht="11.25" customHeight="1">
      <c r="A326" t="s">
        <v>16</v>
      </c>
      <c r="B326" t="s">
        <v>4447</v>
      </c>
      <c r="C326" t="s">
        <v>4448</v>
      </c>
      <c r="D326" t="s">
        <v>3603</v>
      </c>
      <c r="E326" t="s">
        <v>4455</v>
      </c>
      <c r="F326" t="s">
        <v>3547</v>
      </c>
      <c r="G326" t="s">
        <v>4456</v>
      </c>
    </row>
    <row r="327" spans="1:7" ht="11.25" customHeight="1">
      <c r="A327" t="s">
        <v>16</v>
      </c>
      <c r="B327" t="s">
        <v>4447</v>
      </c>
      <c r="C327" t="s">
        <v>4448</v>
      </c>
      <c r="D327" t="s">
        <v>4457</v>
      </c>
      <c r="E327" t="s">
        <v>4458</v>
      </c>
      <c r="F327" t="s">
        <v>3547</v>
      </c>
      <c r="G327" t="s">
        <v>4459</v>
      </c>
    </row>
    <row r="328" spans="1:7" ht="11.25" customHeight="1">
      <c r="A328" t="s">
        <v>16</v>
      </c>
      <c r="B328" t="s">
        <v>4447</v>
      </c>
      <c r="C328" t="s">
        <v>4448</v>
      </c>
      <c r="D328" t="s">
        <v>4447</v>
      </c>
      <c r="E328" t="s">
        <v>4448</v>
      </c>
      <c r="F328" t="s">
        <v>3544</v>
      </c>
      <c r="G328" t="s">
        <v>4460</v>
      </c>
    </row>
    <row r="329" spans="1:7" ht="11.25" customHeight="1">
      <c r="A329" t="s">
        <v>16</v>
      </c>
      <c r="B329" t="s">
        <v>4447</v>
      </c>
      <c r="C329" t="s">
        <v>4448</v>
      </c>
      <c r="D329" t="s">
        <v>4461</v>
      </c>
      <c r="E329" t="s">
        <v>4462</v>
      </c>
      <c r="F329" t="s">
        <v>3547</v>
      </c>
      <c r="G329" t="s">
        <v>4463</v>
      </c>
    </row>
    <row r="330" spans="1:7" ht="11.25" customHeight="1">
      <c r="A330" t="s">
        <v>16</v>
      </c>
      <c r="B330" t="s">
        <v>4447</v>
      </c>
      <c r="C330" t="s">
        <v>4448</v>
      </c>
      <c r="D330" t="s">
        <v>4464</v>
      </c>
      <c r="E330" t="s">
        <v>4465</v>
      </c>
      <c r="F330" t="s">
        <v>3547</v>
      </c>
      <c r="G330" t="s">
        <v>4466</v>
      </c>
    </row>
    <row r="331" spans="1:7" ht="11.25" customHeight="1">
      <c r="A331" t="s">
        <v>16</v>
      </c>
      <c r="B331" t="s">
        <v>4447</v>
      </c>
      <c r="C331" t="s">
        <v>4448</v>
      </c>
      <c r="D331" t="s">
        <v>4467</v>
      </c>
      <c r="E331" t="s">
        <v>4468</v>
      </c>
      <c r="F331" t="s">
        <v>3547</v>
      </c>
      <c r="G331" t="s">
        <v>4469</v>
      </c>
    </row>
    <row r="332" spans="1:7" ht="11.25" customHeight="1">
      <c r="A332" t="s">
        <v>16</v>
      </c>
      <c r="B332" t="s">
        <v>4447</v>
      </c>
      <c r="C332" t="s">
        <v>4448</v>
      </c>
      <c r="D332" t="s">
        <v>4470</v>
      </c>
      <c r="E332" t="s">
        <v>4471</v>
      </c>
      <c r="F332" t="s">
        <v>3547</v>
      </c>
      <c r="G332" t="s">
        <v>4472</v>
      </c>
    </row>
    <row r="333" spans="1:7" ht="11.25" customHeight="1">
      <c r="A333" t="s">
        <v>16</v>
      </c>
      <c r="B333" t="s">
        <v>4447</v>
      </c>
      <c r="C333" t="s">
        <v>4448</v>
      </c>
      <c r="D333" t="s">
        <v>4473</v>
      </c>
      <c r="E333" t="s">
        <v>4474</v>
      </c>
      <c r="F333" t="s">
        <v>3547</v>
      </c>
      <c r="G333" t="s">
        <v>4475</v>
      </c>
    </row>
    <row r="334" spans="1:7" ht="11.25" customHeight="1">
      <c r="A334" t="s">
        <v>16</v>
      </c>
      <c r="B334" t="s">
        <v>4447</v>
      </c>
      <c r="C334" t="s">
        <v>4448</v>
      </c>
      <c r="D334" t="s">
        <v>4476</v>
      </c>
      <c r="E334" t="s">
        <v>4477</v>
      </c>
      <c r="F334" t="s">
        <v>3547</v>
      </c>
      <c r="G334" t="s">
        <v>4478</v>
      </c>
    </row>
    <row r="335" spans="1:7" ht="11.25" customHeight="1">
      <c r="A335" t="s">
        <v>16</v>
      </c>
      <c r="B335" t="s">
        <v>4447</v>
      </c>
      <c r="C335" t="s">
        <v>4448</v>
      </c>
      <c r="D335" t="s">
        <v>4479</v>
      </c>
      <c r="E335" t="s">
        <v>4480</v>
      </c>
      <c r="F335" t="s">
        <v>3547</v>
      </c>
      <c r="G335" t="s">
        <v>4481</v>
      </c>
    </row>
    <row r="336" spans="1:7" ht="11.25" customHeight="1">
      <c r="A336" t="s">
        <v>16</v>
      </c>
      <c r="B336" t="s">
        <v>4447</v>
      </c>
      <c r="C336" t="s">
        <v>4448</v>
      </c>
      <c r="D336" t="s">
        <v>4482</v>
      </c>
      <c r="E336" t="s">
        <v>4483</v>
      </c>
      <c r="F336" t="s">
        <v>3547</v>
      </c>
      <c r="G336" t="s">
        <v>4484</v>
      </c>
    </row>
    <row r="337" spans="1:7" ht="11.25" customHeight="1">
      <c r="A337" t="s">
        <v>16</v>
      </c>
      <c r="B337" t="s">
        <v>4447</v>
      </c>
      <c r="C337" t="s">
        <v>4448</v>
      </c>
      <c r="D337" t="s">
        <v>4485</v>
      </c>
      <c r="E337" t="s">
        <v>4486</v>
      </c>
      <c r="F337" t="s">
        <v>3547</v>
      </c>
      <c r="G337" t="s">
        <v>4487</v>
      </c>
    </row>
    <row r="338" spans="1:7" ht="11.25" customHeight="1">
      <c r="A338" t="s">
        <v>16</v>
      </c>
      <c r="B338" t="s">
        <v>4447</v>
      </c>
      <c r="C338" t="s">
        <v>4448</v>
      </c>
      <c r="D338" t="s">
        <v>4488</v>
      </c>
      <c r="E338" t="s">
        <v>4489</v>
      </c>
      <c r="F338" t="s">
        <v>3547</v>
      </c>
      <c r="G338" t="s">
        <v>4490</v>
      </c>
    </row>
    <row r="339" spans="1:7" ht="11.25" customHeight="1">
      <c r="A339" t="s">
        <v>16</v>
      </c>
      <c r="B339" t="s">
        <v>4447</v>
      </c>
      <c r="C339" t="s">
        <v>4448</v>
      </c>
      <c r="D339" t="s">
        <v>4491</v>
      </c>
      <c r="E339" t="s">
        <v>4492</v>
      </c>
      <c r="F339" t="s">
        <v>3547</v>
      </c>
      <c r="G339" t="s">
        <v>4493</v>
      </c>
    </row>
    <row r="340" spans="1:7" ht="11.25" customHeight="1">
      <c r="A340" t="s">
        <v>16</v>
      </c>
      <c r="B340" t="s">
        <v>4447</v>
      </c>
      <c r="C340" t="s">
        <v>4448</v>
      </c>
      <c r="D340" t="s">
        <v>4494</v>
      </c>
      <c r="E340" t="s">
        <v>4495</v>
      </c>
      <c r="F340" t="s">
        <v>3547</v>
      </c>
      <c r="G340" t="s">
        <v>4496</v>
      </c>
    </row>
    <row r="341" spans="1:7" ht="11.25" customHeight="1">
      <c r="A341" t="s">
        <v>16</v>
      </c>
      <c r="B341" t="s">
        <v>4447</v>
      </c>
      <c r="C341" t="s">
        <v>4448</v>
      </c>
      <c r="D341" t="s">
        <v>4497</v>
      </c>
      <c r="E341" t="s">
        <v>4498</v>
      </c>
      <c r="F341" t="s">
        <v>3547</v>
      </c>
      <c r="G341" t="s">
        <v>4499</v>
      </c>
    </row>
    <row r="342" spans="1:7" ht="11.25" customHeight="1">
      <c r="A342" t="s">
        <v>16</v>
      </c>
      <c r="B342" t="s">
        <v>4447</v>
      </c>
      <c r="C342" t="s">
        <v>4448</v>
      </c>
      <c r="D342" t="s">
        <v>4500</v>
      </c>
      <c r="E342" t="s">
        <v>4501</v>
      </c>
      <c r="F342" t="s">
        <v>3547</v>
      </c>
      <c r="G342" t="s">
        <v>4502</v>
      </c>
    </row>
    <row r="343" spans="1:7" ht="11.25" customHeight="1">
      <c r="A343" t="s">
        <v>16</v>
      </c>
      <c r="B343" t="s">
        <v>4447</v>
      </c>
      <c r="C343" t="s">
        <v>4448</v>
      </c>
      <c r="D343" t="s">
        <v>4503</v>
      </c>
      <c r="E343" t="s">
        <v>4504</v>
      </c>
      <c r="F343" t="s">
        <v>3547</v>
      </c>
      <c r="G343" t="s">
        <v>4505</v>
      </c>
    </row>
    <row r="344" spans="1:7" ht="11.25" customHeight="1">
      <c r="A344" t="s">
        <v>16</v>
      </c>
      <c r="B344" t="s">
        <v>4447</v>
      </c>
      <c r="C344" t="s">
        <v>4448</v>
      </c>
      <c r="D344" t="s">
        <v>4506</v>
      </c>
      <c r="E344" t="s">
        <v>4507</v>
      </c>
      <c r="F344" t="s">
        <v>3552</v>
      </c>
      <c r="G344" t="s">
        <v>4508</v>
      </c>
    </row>
    <row r="345" spans="1:7" ht="11.25" customHeight="1">
      <c r="A345" t="s">
        <v>16</v>
      </c>
      <c r="B345" t="s">
        <v>4509</v>
      </c>
      <c r="C345" t="s">
        <v>4510</v>
      </c>
      <c r="D345" t="s">
        <v>4511</v>
      </c>
      <c r="E345" t="s">
        <v>4512</v>
      </c>
      <c r="F345" t="s">
        <v>3547</v>
      </c>
      <c r="G345" t="s">
        <v>4513</v>
      </c>
    </row>
    <row r="346" spans="1:7" ht="11.25" customHeight="1">
      <c r="A346" t="s">
        <v>16</v>
      </c>
      <c r="B346" t="s">
        <v>4509</v>
      </c>
      <c r="C346" t="s">
        <v>4510</v>
      </c>
      <c r="D346" t="s">
        <v>4514</v>
      </c>
      <c r="E346" t="s">
        <v>4515</v>
      </c>
      <c r="F346" t="s">
        <v>3547</v>
      </c>
      <c r="G346" t="s">
        <v>4516</v>
      </c>
    </row>
    <row r="347" spans="1:7" ht="11.25" customHeight="1">
      <c r="A347" t="s">
        <v>16</v>
      </c>
      <c r="B347" t="s">
        <v>4509</v>
      </c>
      <c r="C347" t="s">
        <v>4510</v>
      </c>
      <c r="D347" t="s">
        <v>4517</v>
      </c>
      <c r="E347" t="s">
        <v>4518</v>
      </c>
      <c r="F347" t="s">
        <v>3547</v>
      </c>
      <c r="G347" t="s">
        <v>4519</v>
      </c>
    </row>
    <row r="348" spans="1:7" ht="11.25" customHeight="1">
      <c r="A348" t="s">
        <v>16</v>
      </c>
      <c r="B348" t="s">
        <v>4509</v>
      </c>
      <c r="C348" t="s">
        <v>4510</v>
      </c>
      <c r="D348" t="s">
        <v>4520</v>
      </c>
      <c r="E348" t="s">
        <v>4521</v>
      </c>
      <c r="F348" t="s">
        <v>3547</v>
      </c>
      <c r="G348" t="s">
        <v>4522</v>
      </c>
    </row>
    <row r="349" spans="1:7" ht="11.25" customHeight="1">
      <c r="A349" t="s">
        <v>16</v>
      </c>
      <c r="B349" t="s">
        <v>4509</v>
      </c>
      <c r="C349" t="s">
        <v>4510</v>
      </c>
      <c r="D349" t="s">
        <v>4523</v>
      </c>
      <c r="E349" t="s">
        <v>4524</v>
      </c>
      <c r="F349" t="s">
        <v>3547</v>
      </c>
      <c r="G349" t="s">
        <v>4525</v>
      </c>
    </row>
    <row r="350" spans="1:7" ht="11.25" customHeight="1">
      <c r="A350" t="s">
        <v>16</v>
      </c>
      <c r="B350" t="s">
        <v>4509</v>
      </c>
      <c r="C350" t="s">
        <v>4510</v>
      </c>
      <c r="D350" t="s">
        <v>4526</v>
      </c>
      <c r="E350" t="s">
        <v>4527</v>
      </c>
      <c r="F350" t="s">
        <v>3547</v>
      </c>
      <c r="G350" t="s">
        <v>4528</v>
      </c>
    </row>
    <row r="351" spans="1:7" ht="11.25" customHeight="1">
      <c r="A351" t="s">
        <v>16</v>
      </c>
      <c r="B351" t="s">
        <v>4509</v>
      </c>
      <c r="C351" t="s">
        <v>4510</v>
      </c>
      <c r="D351" t="s">
        <v>4529</v>
      </c>
      <c r="E351" t="s">
        <v>4530</v>
      </c>
      <c r="F351" t="s">
        <v>3547</v>
      </c>
      <c r="G351" t="s">
        <v>4531</v>
      </c>
    </row>
    <row r="352" spans="1:7" ht="11.25" customHeight="1">
      <c r="A352" t="s">
        <v>16</v>
      </c>
      <c r="B352" t="s">
        <v>4509</v>
      </c>
      <c r="C352" t="s">
        <v>4510</v>
      </c>
      <c r="D352" t="s">
        <v>4509</v>
      </c>
      <c r="E352" t="s">
        <v>4510</v>
      </c>
      <c r="F352" t="s">
        <v>3544</v>
      </c>
      <c r="G352" t="s">
        <v>4532</v>
      </c>
    </row>
    <row r="353" spans="1:7" ht="11.25" customHeight="1">
      <c r="A353" t="s">
        <v>16</v>
      </c>
      <c r="B353" t="s">
        <v>4509</v>
      </c>
      <c r="C353" t="s">
        <v>4510</v>
      </c>
      <c r="D353" t="s">
        <v>4533</v>
      </c>
      <c r="E353" t="s">
        <v>4534</v>
      </c>
      <c r="F353" t="s">
        <v>3547</v>
      </c>
      <c r="G353" t="s">
        <v>4535</v>
      </c>
    </row>
    <row r="354" spans="1:7" ht="11.25" customHeight="1">
      <c r="A354" t="s">
        <v>16</v>
      </c>
      <c r="B354" t="s">
        <v>4509</v>
      </c>
      <c r="C354" t="s">
        <v>4510</v>
      </c>
      <c r="D354" t="s">
        <v>4536</v>
      </c>
      <c r="E354" t="s">
        <v>4537</v>
      </c>
      <c r="F354" t="s">
        <v>3547</v>
      </c>
      <c r="G354" t="s">
        <v>4538</v>
      </c>
    </row>
    <row r="355" spans="1:7" ht="11.25" customHeight="1">
      <c r="A355" t="s">
        <v>16</v>
      </c>
      <c r="B355" t="s">
        <v>4509</v>
      </c>
      <c r="C355" t="s">
        <v>4510</v>
      </c>
      <c r="D355" t="s">
        <v>4539</v>
      </c>
      <c r="E355" t="s">
        <v>4540</v>
      </c>
      <c r="F355" t="s">
        <v>3547</v>
      </c>
      <c r="G355" t="s">
        <v>4541</v>
      </c>
    </row>
    <row r="356" spans="1:7" ht="11.25" customHeight="1">
      <c r="A356" t="s">
        <v>16</v>
      </c>
      <c r="B356" t="s">
        <v>4509</v>
      </c>
      <c r="C356" t="s">
        <v>4510</v>
      </c>
      <c r="D356" t="s">
        <v>4542</v>
      </c>
      <c r="E356" t="s">
        <v>4543</v>
      </c>
      <c r="F356" t="s">
        <v>3547</v>
      </c>
      <c r="G356" t="s">
        <v>4544</v>
      </c>
    </row>
    <row r="357" spans="1:7" ht="11.25" customHeight="1">
      <c r="A357" t="s">
        <v>16</v>
      </c>
      <c r="B357" t="s">
        <v>4509</v>
      </c>
      <c r="C357" t="s">
        <v>4510</v>
      </c>
      <c r="D357" t="s">
        <v>4545</v>
      </c>
      <c r="E357" t="s">
        <v>4546</v>
      </c>
      <c r="F357" t="s">
        <v>3547</v>
      </c>
      <c r="G357" t="s">
        <v>4547</v>
      </c>
    </row>
    <row r="358" spans="1:7" ht="11.25" customHeight="1">
      <c r="A358" t="s">
        <v>16</v>
      </c>
      <c r="B358" t="s">
        <v>4509</v>
      </c>
      <c r="C358" t="s">
        <v>4510</v>
      </c>
      <c r="D358" t="s">
        <v>4548</v>
      </c>
      <c r="E358" t="s">
        <v>4549</v>
      </c>
      <c r="F358" t="s">
        <v>3547</v>
      </c>
      <c r="G358" t="s">
        <v>4550</v>
      </c>
    </row>
    <row r="359" spans="1:7" ht="11.25" customHeight="1">
      <c r="A359" t="s">
        <v>16</v>
      </c>
      <c r="B359" t="s">
        <v>4509</v>
      </c>
      <c r="C359" t="s">
        <v>4510</v>
      </c>
      <c r="D359" t="s">
        <v>4551</v>
      </c>
      <c r="E359" t="s">
        <v>4552</v>
      </c>
      <c r="F359" t="s">
        <v>3547</v>
      </c>
      <c r="G359" t="s">
        <v>4553</v>
      </c>
    </row>
    <row r="360" spans="1:7" ht="11.25" customHeight="1">
      <c r="A360" t="s">
        <v>16</v>
      </c>
      <c r="B360" t="s">
        <v>4509</v>
      </c>
      <c r="C360" t="s">
        <v>4510</v>
      </c>
      <c r="D360" t="s">
        <v>4554</v>
      </c>
      <c r="E360" t="s">
        <v>4555</v>
      </c>
      <c r="F360" t="s">
        <v>3547</v>
      </c>
      <c r="G360" t="s">
        <v>4556</v>
      </c>
    </row>
    <row r="361" spans="1:7" ht="11.25" customHeight="1">
      <c r="A361" t="s">
        <v>16</v>
      </c>
      <c r="B361" t="s">
        <v>4509</v>
      </c>
      <c r="C361" t="s">
        <v>4510</v>
      </c>
      <c r="D361" t="s">
        <v>4557</v>
      </c>
      <c r="E361" t="s">
        <v>4558</v>
      </c>
      <c r="F361" t="s">
        <v>3547</v>
      </c>
      <c r="G361" t="s">
        <v>4559</v>
      </c>
    </row>
    <row r="362" spans="1:7" ht="11.25" customHeight="1">
      <c r="A362" t="s">
        <v>16</v>
      </c>
      <c r="B362" t="s">
        <v>4509</v>
      </c>
      <c r="C362" t="s">
        <v>4510</v>
      </c>
      <c r="D362" t="s">
        <v>4560</v>
      </c>
      <c r="E362" t="s">
        <v>4561</v>
      </c>
      <c r="F362" t="s">
        <v>3547</v>
      </c>
      <c r="G362" t="s">
        <v>4562</v>
      </c>
    </row>
    <row r="363" spans="1:7" ht="11.25" customHeight="1">
      <c r="A363" t="s">
        <v>16</v>
      </c>
      <c r="B363" t="s">
        <v>4509</v>
      </c>
      <c r="C363" t="s">
        <v>4510</v>
      </c>
      <c r="D363" t="s">
        <v>4563</v>
      </c>
      <c r="E363" t="s">
        <v>4564</v>
      </c>
      <c r="F363" t="s">
        <v>3547</v>
      </c>
      <c r="G363" t="s">
        <v>4565</v>
      </c>
    </row>
    <row r="364" spans="1:7" ht="11.25" customHeight="1">
      <c r="A364" t="s">
        <v>16</v>
      </c>
      <c r="B364" t="s">
        <v>4509</v>
      </c>
      <c r="C364" t="s">
        <v>4510</v>
      </c>
      <c r="D364" t="s">
        <v>4566</v>
      </c>
      <c r="E364" t="s">
        <v>4567</v>
      </c>
      <c r="F364" t="s">
        <v>3547</v>
      </c>
      <c r="G364" t="s">
        <v>4568</v>
      </c>
    </row>
    <row r="365" spans="1:7" ht="11.25" customHeight="1">
      <c r="A365" t="s">
        <v>16</v>
      </c>
      <c r="B365" t="s">
        <v>4509</v>
      </c>
      <c r="C365" t="s">
        <v>4510</v>
      </c>
      <c r="D365" t="s">
        <v>4569</v>
      </c>
      <c r="E365" t="s">
        <v>4570</v>
      </c>
      <c r="F365" t="s">
        <v>3547</v>
      </c>
      <c r="G365" t="s">
        <v>4571</v>
      </c>
    </row>
    <row r="366" spans="1:7" ht="11.25" customHeight="1">
      <c r="A366" t="s">
        <v>16</v>
      </c>
      <c r="B366" t="s">
        <v>4509</v>
      </c>
      <c r="C366" t="s">
        <v>4510</v>
      </c>
      <c r="D366" t="s">
        <v>4572</v>
      </c>
      <c r="E366" t="s">
        <v>4573</v>
      </c>
      <c r="F366" t="s">
        <v>3547</v>
      </c>
      <c r="G366" t="s">
        <v>4574</v>
      </c>
    </row>
    <row r="367" spans="1:7" ht="11.25" customHeight="1">
      <c r="A367" t="s">
        <v>16</v>
      </c>
      <c r="B367" t="s">
        <v>4509</v>
      </c>
      <c r="C367" t="s">
        <v>4510</v>
      </c>
      <c r="D367" t="s">
        <v>4575</v>
      </c>
      <c r="E367" t="s">
        <v>4576</v>
      </c>
      <c r="F367" t="s">
        <v>3547</v>
      </c>
      <c r="G367" t="s">
        <v>4577</v>
      </c>
    </row>
    <row r="368" spans="1:7" ht="11.25" customHeight="1">
      <c r="A368" t="s">
        <v>16</v>
      </c>
      <c r="B368" t="s">
        <v>4509</v>
      </c>
      <c r="C368" t="s">
        <v>4510</v>
      </c>
      <c r="D368" t="s">
        <v>4578</v>
      </c>
      <c r="E368" t="s">
        <v>4579</v>
      </c>
      <c r="F368" t="s">
        <v>3547</v>
      </c>
      <c r="G368" t="s">
        <v>4580</v>
      </c>
    </row>
    <row r="369" spans="1:7" ht="11.25" customHeight="1">
      <c r="A369" t="s">
        <v>16</v>
      </c>
      <c r="B369" t="s">
        <v>4509</v>
      </c>
      <c r="C369" t="s">
        <v>4510</v>
      </c>
      <c r="D369" t="s">
        <v>4581</v>
      </c>
      <c r="E369" t="s">
        <v>4582</v>
      </c>
      <c r="F369" t="s">
        <v>3547</v>
      </c>
      <c r="G369" t="s">
        <v>4583</v>
      </c>
    </row>
    <row r="370" spans="1:7" ht="11.25" customHeight="1">
      <c r="A370" t="s">
        <v>16</v>
      </c>
      <c r="B370" t="s">
        <v>4509</v>
      </c>
      <c r="C370" t="s">
        <v>4510</v>
      </c>
      <c r="D370" t="s">
        <v>4584</v>
      </c>
      <c r="E370" t="s">
        <v>4585</v>
      </c>
      <c r="F370" t="s">
        <v>3547</v>
      </c>
      <c r="G370" t="s">
        <v>4586</v>
      </c>
    </row>
    <row r="371" spans="1:7" ht="11.25" customHeight="1">
      <c r="A371" t="s">
        <v>16</v>
      </c>
      <c r="B371" t="s">
        <v>4587</v>
      </c>
      <c r="C371" t="s">
        <v>4588</v>
      </c>
      <c r="D371" t="s">
        <v>4587</v>
      </c>
      <c r="E371" t="s">
        <v>4588</v>
      </c>
      <c r="F371" t="s">
        <v>4589</v>
      </c>
      <c r="G371" t="s">
        <v>4590</v>
      </c>
    </row>
    <row r="372" spans="1:7" ht="11.25" customHeight="1">
      <c r="A372" t="s">
        <v>16</v>
      </c>
      <c r="B372" t="s">
        <v>4591</v>
      </c>
      <c r="C372" t="s">
        <v>4592</v>
      </c>
      <c r="D372" t="s">
        <v>4591</v>
      </c>
      <c r="E372" t="s">
        <v>4592</v>
      </c>
      <c r="F372" t="s">
        <v>4589</v>
      </c>
      <c r="G372" t="s">
        <v>4593</v>
      </c>
    </row>
    <row r="373" spans="1:7" ht="11.25" customHeight="1">
      <c r="A373" t="s">
        <v>16</v>
      </c>
      <c r="B373" t="s">
        <v>4594</v>
      </c>
      <c r="C373" t="s">
        <v>4595</v>
      </c>
      <c r="D373" t="s">
        <v>4596</v>
      </c>
      <c r="E373" t="s">
        <v>4597</v>
      </c>
      <c r="F373" t="s">
        <v>3547</v>
      </c>
      <c r="G373" t="s">
        <v>4598</v>
      </c>
    </row>
    <row r="374" spans="1:7" ht="11.25" customHeight="1">
      <c r="A374" t="s">
        <v>16</v>
      </c>
      <c r="B374" t="s">
        <v>4594</v>
      </c>
      <c r="C374" t="s">
        <v>4595</v>
      </c>
      <c r="D374" t="s">
        <v>4599</v>
      </c>
      <c r="E374" t="s">
        <v>4600</v>
      </c>
      <c r="F374" t="s">
        <v>3547</v>
      </c>
      <c r="G374" t="s">
        <v>4601</v>
      </c>
    </row>
    <row r="375" spans="1:7" ht="11.25" customHeight="1">
      <c r="A375" t="s">
        <v>16</v>
      </c>
      <c r="B375" t="s">
        <v>4594</v>
      </c>
      <c r="C375" t="s">
        <v>4595</v>
      </c>
      <c r="D375" t="s">
        <v>4602</v>
      </c>
      <c r="E375" t="s">
        <v>4603</v>
      </c>
      <c r="F375" t="s">
        <v>3547</v>
      </c>
      <c r="G375" t="s">
        <v>4604</v>
      </c>
    </row>
    <row r="376" spans="1:7" ht="11.25" customHeight="1">
      <c r="A376" t="s">
        <v>16</v>
      </c>
      <c r="B376" t="s">
        <v>4594</v>
      </c>
      <c r="C376" t="s">
        <v>4595</v>
      </c>
      <c r="D376" t="s">
        <v>4605</v>
      </c>
      <c r="E376" t="s">
        <v>4606</v>
      </c>
      <c r="F376" t="s">
        <v>3547</v>
      </c>
      <c r="G376" t="s">
        <v>4607</v>
      </c>
    </row>
    <row r="377" spans="1:7" ht="11.25" customHeight="1">
      <c r="A377" t="s">
        <v>16</v>
      </c>
      <c r="B377" t="s">
        <v>4594</v>
      </c>
      <c r="C377" t="s">
        <v>4595</v>
      </c>
      <c r="D377" t="s">
        <v>4594</v>
      </c>
      <c r="E377" t="s">
        <v>4595</v>
      </c>
      <c r="F377" t="s">
        <v>3544</v>
      </c>
      <c r="G377" t="s">
        <v>4608</v>
      </c>
    </row>
    <row r="378" spans="1:7" ht="11.25" customHeight="1">
      <c r="A378" t="s">
        <v>16</v>
      </c>
      <c r="B378" t="s">
        <v>4594</v>
      </c>
      <c r="C378" t="s">
        <v>4595</v>
      </c>
      <c r="D378" t="s">
        <v>4609</v>
      </c>
      <c r="E378" t="s">
        <v>4610</v>
      </c>
      <c r="F378" t="s">
        <v>3547</v>
      </c>
      <c r="G378" t="s">
        <v>4611</v>
      </c>
    </row>
    <row r="379" spans="1:7" ht="11.25" customHeight="1">
      <c r="A379" t="s">
        <v>16</v>
      </c>
      <c r="B379" t="s">
        <v>4594</v>
      </c>
      <c r="C379" t="s">
        <v>4595</v>
      </c>
      <c r="D379" t="s">
        <v>4612</v>
      </c>
      <c r="E379" t="s">
        <v>4613</v>
      </c>
      <c r="F379" t="s">
        <v>3547</v>
      </c>
      <c r="G379" t="s">
        <v>4614</v>
      </c>
    </row>
    <row r="380" spans="1:7" ht="11.25" customHeight="1">
      <c r="A380" t="s">
        <v>16</v>
      </c>
      <c r="B380" t="s">
        <v>4594</v>
      </c>
      <c r="C380" t="s">
        <v>4595</v>
      </c>
      <c r="D380" t="s">
        <v>4615</v>
      </c>
      <c r="E380" t="s">
        <v>4616</v>
      </c>
      <c r="F380" t="s">
        <v>3547</v>
      </c>
      <c r="G380" t="s">
        <v>4617</v>
      </c>
    </row>
    <row r="381" spans="1:7" ht="11.25" customHeight="1">
      <c r="A381" t="s">
        <v>16</v>
      </c>
      <c r="B381" t="s">
        <v>4594</v>
      </c>
      <c r="C381" t="s">
        <v>4595</v>
      </c>
      <c r="D381" t="s">
        <v>4618</v>
      </c>
      <c r="E381" t="s">
        <v>4619</v>
      </c>
      <c r="F381" t="s">
        <v>3547</v>
      </c>
      <c r="G381" t="s">
        <v>4620</v>
      </c>
    </row>
    <row r="382" spans="1:7" ht="11.25" customHeight="1">
      <c r="A382" t="s">
        <v>16</v>
      </c>
      <c r="B382" t="s">
        <v>4594</v>
      </c>
      <c r="C382" t="s">
        <v>4595</v>
      </c>
      <c r="D382" t="s">
        <v>4621</v>
      </c>
      <c r="E382" t="s">
        <v>4622</v>
      </c>
      <c r="F382" t="s">
        <v>3547</v>
      </c>
      <c r="G382" t="s">
        <v>4623</v>
      </c>
    </row>
    <row r="383" spans="1:7" ht="11.25" customHeight="1">
      <c r="A383" t="s">
        <v>16</v>
      </c>
      <c r="B383" t="s">
        <v>4594</v>
      </c>
      <c r="C383" t="s">
        <v>4595</v>
      </c>
      <c r="D383" t="s">
        <v>4624</v>
      </c>
      <c r="E383" t="s">
        <v>4625</v>
      </c>
      <c r="F383" t="s">
        <v>3547</v>
      </c>
      <c r="G383" t="s">
        <v>4626</v>
      </c>
    </row>
    <row r="384" spans="1:7" ht="11.25" customHeight="1">
      <c r="A384" t="s">
        <v>16</v>
      </c>
      <c r="B384" t="s">
        <v>4594</v>
      </c>
      <c r="C384" t="s">
        <v>4595</v>
      </c>
      <c r="D384" t="s">
        <v>4627</v>
      </c>
      <c r="E384" t="s">
        <v>4628</v>
      </c>
      <c r="F384" t="s">
        <v>3547</v>
      </c>
      <c r="G384" t="s">
        <v>4629</v>
      </c>
    </row>
    <row r="385" spans="1:7" ht="11.25" customHeight="1">
      <c r="A385" t="s">
        <v>16</v>
      </c>
      <c r="B385" t="s">
        <v>4594</v>
      </c>
      <c r="C385" t="s">
        <v>4595</v>
      </c>
      <c r="D385" t="s">
        <v>4630</v>
      </c>
      <c r="E385" t="s">
        <v>4631</v>
      </c>
      <c r="F385" t="s">
        <v>3547</v>
      </c>
      <c r="G385" t="s">
        <v>4632</v>
      </c>
    </row>
    <row r="386" spans="1:7" ht="11.25" customHeight="1">
      <c r="A386" t="s">
        <v>16</v>
      </c>
      <c r="B386" t="s">
        <v>4594</v>
      </c>
      <c r="C386" t="s">
        <v>4595</v>
      </c>
      <c r="D386" t="s">
        <v>4633</v>
      </c>
      <c r="E386" t="s">
        <v>4634</v>
      </c>
      <c r="F386" t="s">
        <v>3547</v>
      </c>
      <c r="G386" t="s">
        <v>4635</v>
      </c>
    </row>
    <row r="387" spans="1:7" ht="11.25" customHeight="1">
      <c r="A387" t="s">
        <v>16</v>
      </c>
      <c r="B387" t="s">
        <v>4594</v>
      </c>
      <c r="C387" t="s">
        <v>4595</v>
      </c>
      <c r="D387" t="s">
        <v>4636</v>
      </c>
      <c r="E387" t="s">
        <v>4637</v>
      </c>
      <c r="F387" t="s">
        <v>3547</v>
      </c>
      <c r="G387" t="s">
        <v>4638</v>
      </c>
    </row>
    <row r="388" spans="1:7" ht="11.25" customHeight="1">
      <c r="A388" t="s">
        <v>16</v>
      </c>
      <c r="B388" t="s">
        <v>4594</v>
      </c>
      <c r="C388" t="s">
        <v>4595</v>
      </c>
      <c r="D388" t="s">
        <v>4639</v>
      </c>
      <c r="E388" t="s">
        <v>4640</v>
      </c>
      <c r="F388" t="s">
        <v>3547</v>
      </c>
      <c r="G388" t="s">
        <v>4641</v>
      </c>
    </row>
    <row r="389" spans="1:7" ht="11.25" customHeight="1">
      <c r="A389" t="s">
        <v>16</v>
      </c>
      <c r="B389" t="s">
        <v>4594</v>
      </c>
      <c r="C389" t="s">
        <v>4595</v>
      </c>
      <c r="D389" t="s">
        <v>4642</v>
      </c>
      <c r="E389" t="s">
        <v>4643</v>
      </c>
      <c r="F389" t="s">
        <v>3547</v>
      </c>
      <c r="G389" t="s">
        <v>4644</v>
      </c>
    </row>
    <row r="390" spans="1:7" ht="11.25" customHeight="1">
      <c r="A390" t="s">
        <v>16</v>
      </c>
      <c r="B390" t="s">
        <v>4594</v>
      </c>
      <c r="C390" t="s">
        <v>4595</v>
      </c>
      <c r="D390" t="s">
        <v>4645</v>
      </c>
      <c r="E390" t="s">
        <v>4646</v>
      </c>
      <c r="F390" t="s">
        <v>3547</v>
      </c>
      <c r="G390" t="s">
        <v>4647</v>
      </c>
    </row>
    <row r="391" spans="1:7" ht="11.25" customHeight="1">
      <c r="A391" t="s">
        <v>16</v>
      </c>
      <c r="B391" t="s">
        <v>4594</v>
      </c>
      <c r="C391" t="s">
        <v>4595</v>
      </c>
      <c r="D391" t="s">
        <v>4648</v>
      </c>
      <c r="E391" t="s">
        <v>4649</v>
      </c>
      <c r="F391" t="s">
        <v>3547</v>
      </c>
      <c r="G391" t="s">
        <v>4650</v>
      </c>
    </row>
    <row r="392" spans="1:7" ht="11.25" customHeight="1">
      <c r="A392" t="s">
        <v>16</v>
      </c>
      <c r="B392" t="s">
        <v>4594</v>
      </c>
      <c r="C392" t="s">
        <v>4595</v>
      </c>
      <c r="D392" t="s">
        <v>4651</v>
      </c>
      <c r="E392" t="s">
        <v>4652</v>
      </c>
      <c r="F392" t="s">
        <v>3547</v>
      </c>
      <c r="G392" t="s">
        <v>4653</v>
      </c>
    </row>
    <row r="393" spans="1:7" ht="11.25" customHeight="1">
      <c r="A393" t="s">
        <v>16</v>
      </c>
      <c r="B393" t="s">
        <v>4654</v>
      </c>
      <c r="C393" t="s">
        <v>4655</v>
      </c>
      <c r="D393" t="s">
        <v>3922</v>
      </c>
      <c r="E393" t="s">
        <v>4656</v>
      </c>
      <c r="F393" t="s">
        <v>3547</v>
      </c>
      <c r="G393" t="s">
        <v>4657</v>
      </c>
    </row>
    <row r="394" spans="1:7" ht="11.25" customHeight="1">
      <c r="A394" t="s">
        <v>16</v>
      </c>
      <c r="B394" t="s">
        <v>4654</v>
      </c>
      <c r="C394" t="s">
        <v>4655</v>
      </c>
      <c r="D394" t="s">
        <v>4658</v>
      </c>
      <c r="E394" t="s">
        <v>4659</v>
      </c>
      <c r="F394" t="s">
        <v>3547</v>
      </c>
      <c r="G394" t="s">
        <v>4660</v>
      </c>
    </row>
    <row r="395" spans="1:7" ht="11.25" customHeight="1">
      <c r="A395" t="s">
        <v>16</v>
      </c>
      <c r="B395" t="s">
        <v>4654</v>
      </c>
      <c r="C395" t="s">
        <v>4655</v>
      </c>
      <c r="D395" t="s">
        <v>4661</v>
      </c>
      <c r="E395" t="s">
        <v>4662</v>
      </c>
      <c r="F395" t="s">
        <v>3547</v>
      </c>
      <c r="G395" t="s">
        <v>4663</v>
      </c>
    </row>
    <row r="396" spans="1:7" ht="11.25" customHeight="1">
      <c r="A396" t="s">
        <v>16</v>
      </c>
      <c r="B396" t="s">
        <v>4654</v>
      </c>
      <c r="C396" t="s">
        <v>4655</v>
      </c>
      <c r="D396" t="s">
        <v>4664</v>
      </c>
      <c r="E396" t="s">
        <v>4665</v>
      </c>
      <c r="F396" t="s">
        <v>3547</v>
      </c>
      <c r="G396" t="s">
        <v>4666</v>
      </c>
    </row>
    <row r="397" spans="1:7" ht="11.25" customHeight="1">
      <c r="A397" t="s">
        <v>16</v>
      </c>
      <c r="B397" t="s">
        <v>4654</v>
      </c>
      <c r="C397" t="s">
        <v>4655</v>
      </c>
      <c r="D397" t="s">
        <v>4667</v>
      </c>
      <c r="E397" t="s">
        <v>4668</v>
      </c>
      <c r="F397" t="s">
        <v>3547</v>
      </c>
      <c r="G397" t="s">
        <v>4669</v>
      </c>
    </row>
    <row r="398" spans="1:7" ht="11.25" customHeight="1">
      <c r="A398" t="s">
        <v>16</v>
      </c>
      <c r="B398" t="s">
        <v>4654</v>
      </c>
      <c r="C398" t="s">
        <v>4655</v>
      </c>
      <c r="D398" t="s">
        <v>4670</v>
      </c>
      <c r="E398" t="s">
        <v>4671</v>
      </c>
      <c r="F398" t="s">
        <v>3552</v>
      </c>
      <c r="G398" t="s">
        <v>4672</v>
      </c>
    </row>
    <row r="399" spans="1:7" ht="11.25" customHeight="1">
      <c r="A399" t="s">
        <v>16</v>
      </c>
      <c r="B399" t="s">
        <v>4654</v>
      </c>
      <c r="C399" t="s">
        <v>4655</v>
      </c>
      <c r="D399" t="s">
        <v>4654</v>
      </c>
      <c r="E399" t="s">
        <v>4655</v>
      </c>
      <c r="F399" t="s">
        <v>3544</v>
      </c>
      <c r="G399" t="s">
        <v>4673</v>
      </c>
    </row>
    <row r="400" spans="1:7" ht="11.25" customHeight="1">
      <c r="A400" t="s">
        <v>16</v>
      </c>
      <c r="B400" t="s">
        <v>4654</v>
      </c>
      <c r="C400" t="s">
        <v>4655</v>
      </c>
      <c r="D400" t="s">
        <v>4674</v>
      </c>
      <c r="E400" t="s">
        <v>4675</v>
      </c>
      <c r="F400" t="s">
        <v>3547</v>
      </c>
      <c r="G400" t="s">
        <v>4676</v>
      </c>
    </row>
    <row r="401" spans="1:7" ht="11.25" customHeight="1">
      <c r="A401" t="s">
        <v>16</v>
      </c>
      <c r="B401" t="s">
        <v>4654</v>
      </c>
      <c r="C401" t="s">
        <v>4655</v>
      </c>
      <c r="D401" t="s">
        <v>4677</v>
      </c>
      <c r="E401" t="s">
        <v>4678</v>
      </c>
      <c r="F401" t="s">
        <v>3547</v>
      </c>
      <c r="G401" t="s">
        <v>4679</v>
      </c>
    </row>
    <row r="402" spans="1:7" ht="11.25" customHeight="1">
      <c r="A402" t="s">
        <v>16</v>
      </c>
      <c r="B402" t="s">
        <v>4654</v>
      </c>
      <c r="C402" t="s">
        <v>4655</v>
      </c>
      <c r="D402" t="s">
        <v>4680</v>
      </c>
      <c r="E402" t="s">
        <v>4681</v>
      </c>
      <c r="F402" t="s">
        <v>3547</v>
      </c>
      <c r="G402" t="s">
        <v>4682</v>
      </c>
    </row>
    <row r="403" spans="1:7" ht="11.25" customHeight="1">
      <c r="A403" t="s">
        <v>16</v>
      </c>
      <c r="B403" t="s">
        <v>4654</v>
      </c>
      <c r="C403" t="s">
        <v>4655</v>
      </c>
      <c r="D403" t="s">
        <v>4683</v>
      </c>
      <c r="E403" t="s">
        <v>4684</v>
      </c>
      <c r="F403" t="s">
        <v>3547</v>
      </c>
      <c r="G403" t="s">
        <v>4685</v>
      </c>
    </row>
    <row r="404" spans="1:7" ht="11.25" customHeight="1">
      <c r="A404" t="s">
        <v>16</v>
      </c>
      <c r="B404" t="s">
        <v>4654</v>
      </c>
      <c r="C404" t="s">
        <v>4655</v>
      </c>
      <c r="D404" t="s">
        <v>4686</v>
      </c>
      <c r="E404" t="s">
        <v>4687</v>
      </c>
      <c r="F404" t="s">
        <v>3547</v>
      </c>
      <c r="G404" t="s">
        <v>4688</v>
      </c>
    </row>
    <row r="405" spans="1:7" ht="11.25" customHeight="1">
      <c r="A405" t="s">
        <v>16</v>
      </c>
      <c r="B405" t="s">
        <v>4654</v>
      </c>
      <c r="C405" t="s">
        <v>4655</v>
      </c>
      <c r="D405" t="s">
        <v>4689</v>
      </c>
      <c r="E405" t="s">
        <v>4690</v>
      </c>
      <c r="F405" t="s">
        <v>3547</v>
      </c>
      <c r="G405" t="s">
        <v>4691</v>
      </c>
    </row>
    <row r="406" spans="1:7" ht="11.25" customHeight="1">
      <c r="A406" t="s">
        <v>16</v>
      </c>
      <c r="B406" t="s">
        <v>4654</v>
      </c>
      <c r="C406" t="s">
        <v>4655</v>
      </c>
      <c r="D406" t="s">
        <v>4692</v>
      </c>
      <c r="E406" t="s">
        <v>4693</v>
      </c>
      <c r="F406" t="s">
        <v>3547</v>
      </c>
      <c r="G406" t="s">
        <v>4694</v>
      </c>
    </row>
    <row r="407" spans="1:7" ht="11.25" customHeight="1">
      <c r="A407" t="s">
        <v>16</v>
      </c>
      <c r="B407" t="s">
        <v>4654</v>
      </c>
      <c r="C407" t="s">
        <v>4655</v>
      </c>
      <c r="D407" t="s">
        <v>4695</v>
      </c>
      <c r="E407" t="s">
        <v>4696</v>
      </c>
      <c r="F407" t="s">
        <v>3547</v>
      </c>
      <c r="G407" t="s">
        <v>4697</v>
      </c>
    </row>
    <row r="408" spans="1:7" ht="11.25" customHeight="1">
      <c r="A408" t="s">
        <v>16</v>
      </c>
      <c r="B408" t="s">
        <v>4654</v>
      </c>
      <c r="C408" t="s">
        <v>4655</v>
      </c>
      <c r="D408" t="s">
        <v>4698</v>
      </c>
      <c r="E408" t="s">
        <v>4699</v>
      </c>
      <c r="F408" t="s">
        <v>3547</v>
      </c>
      <c r="G408" t="s">
        <v>4700</v>
      </c>
    </row>
    <row r="409" spans="1:7" ht="11.25" customHeight="1">
      <c r="A409" t="s">
        <v>16</v>
      </c>
      <c r="B409" t="s">
        <v>4654</v>
      </c>
      <c r="C409" t="s">
        <v>4655</v>
      </c>
      <c r="D409" t="s">
        <v>4701</v>
      </c>
      <c r="E409" t="s">
        <v>4702</v>
      </c>
      <c r="F409" t="s">
        <v>3547</v>
      </c>
      <c r="G409" t="s">
        <v>4703</v>
      </c>
    </row>
    <row r="410" spans="1:7" ht="11.25" customHeight="1">
      <c r="A410" t="s">
        <v>16</v>
      </c>
      <c r="B410" t="s">
        <v>4704</v>
      </c>
      <c r="C410" t="s">
        <v>4705</v>
      </c>
      <c r="D410" t="s">
        <v>4706</v>
      </c>
      <c r="E410" t="s">
        <v>4707</v>
      </c>
      <c r="F410" t="s">
        <v>3547</v>
      </c>
      <c r="G410" t="s">
        <v>4708</v>
      </c>
    </row>
    <row r="411" spans="1:7" ht="11.25" customHeight="1">
      <c r="A411" t="s">
        <v>16</v>
      </c>
      <c r="B411" t="s">
        <v>4704</v>
      </c>
      <c r="C411" t="s">
        <v>4705</v>
      </c>
      <c r="D411" t="s">
        <v>4709</v>
      </c>
      <c r="E411" t="s">
        <v>4710</v>
      </c>
      <c r="F411" t="s">
        <v>3547</v>
      </c>
      <c r="G411" t="s">
        <v>4711</v>
      </c>
    </row>
    <row r="412" spans="1:7" ht="11.25" customHeight="1">
      <c r="A412" t="s">
        <v>16</v>
      </c>
      <c r="B412" t="s">
        <v>4704</v>
      </c>
      <c r="C412" t="s">
        <v>4705</v>
      </c>
      <c r="D412" t="s">
        <v>4712</v>
      </c>
      <c r="E412" t="s">
        <v>4713</v>
      </c>
      <c r="F412" t="s">
        <v>3547</v>
      </c>
      <c r="G412" t="s">
        <v>4714</v>
      </c>
    </row>
    <row r="413" spans="1:7" ht="11.25" customHeight="1">
      <c r="A413" t="s">
        <v>16</v>
      </c>
      <c r="B413" t="s">
        <v>4704</v>
      </c>
      <c r="C413" t="s">
        <v>4705</v>
      </c>
      <c r="D413" t="s">
        <v>4715</v>
      </c>
      <c r="E413" t="s">
        <v>4716</v>
      </c>
      <c r="F413" t="s">
        <v>3547</v>
      </c>
      <c r="G413" t="s">
        <v>4717</v>
      </c>
    </row>
    <row r="414" spans="1:7" ht="11.25" customHeight="1">
      <c r="A414" t="s">
        <v>16</v>
      </c>
      <c r="B414" t="s">
        <v>4704</v>
      </c>
      <c r="C414" t="s">
        <v>4705</v>
      </c>
      <c r="D414" t="s">
        <v>4718</v>
      </c>
      <c r="E414" t="s">
        <v>4719</v>
      </c>
      <c r="F414" t="s">
        <v>3547</v>
      </c>
      <c r="G414" t="s">
        <v>4720</v>
      </c>
    </row>
    <row r="415" spans="1:7" ht="11.25" customHeight="1">
      <c r="A415" t="s">
        <v>16</v>
      </c>
      <c r="B415" t="s">
        <v>4704</v>
      </c>
      <c r="C415" t="s">
        <v>4705</v>
      </c>
      <c r="D415" t="s">
        <v>4721</v>
      </c>
      <c r="E415" t="s">
        <v>4722</v>
      </c>
      <c r="F415" t="s">
        <v>3547</v>
      </c>
      <c r="G415" t="s">
        <v>4723</v>
      </c>
    </row>
    <row r="416" spans="1:7" ht="11.25" customHeight="1">
      <c r="A416" t="s">
        <v>16</v>
      </c>
      <c r="B416" t="s">
        <v>4704</v>
      </c>
      <c r="C416" t="s">
        <v>4705</v>
      </c>
      <c r="D416" t="s">
        <v>4724</v>
      </c>
      <c r="E416" t="s">
        <v>4725</v>
      </c>
      <c r="F416" t="s">
        <v>3547</v>
      </c>
      <c r="G416" t="s">
        <v>4726</v>
      </c>
    </row>
    <row r="417" spans="1:7" ht="11.25" customHeight="1">
      <c r="A417" t="s">
        <v>16</v>
      </c>
      <c r="B417" t="s">
        <v>4704</v>
      </c>
      <c r="C417" t="s">
        <v>4705</v>
      </c>
      <c r="D417" t="s">
        <v>4727</v>
      </c>
      <c r="E417" t="s">
        <v>4728</v>
      </c>
      <c r="F417" t="s">
        <v>3547</v>
      </c>
      <c r="G417" t="s">
        <v>4729</v>
      </c>
    </row>
    <row r="418" spans="1:7" ht="11.25" customHeight="1">
      <c r="A418" t="s">
        <v>16</v>
      </c>
      <c r="B418" t="s">
        <v>4704</v>
      </c>
      <c r="C418" t="s">
        <v>4705</v>
      </c>
      <c r="D418" t="s">
        <v>4730</v>
      </c>
      <c r="E418" t="s">
        <v>4731</v>
      </c>
      <c r="F418" t="s">
        <v>3552</v>
      </c>
      <c r="G418" t="s">
        <v>4732</v>
      </c>
    </row>
    <row r="419" spans="1:7" ht="11.25" customHeight="1">
      <c r="A419" t="s">
        <v>16</v>
      </c>
      <c r="B419" t="s">
        <v>4704</v>
      </c>
      <c r="C419" t="s">
        <v>4705</v>
      </c>
      <c r="D419" t="s">
        <v>4733</v>
      </c>
      <c r="E419" t="s">
        <v>4734</v>
      </c>
      <c r="F419" t="s">
        <v>3547</v>
      </c>
      <c r="G419" t="s">
        <v>4735</v>
      </c>
    </row>
    <row r="420" spans="1:7" ht="11.25" customHeight="1">
      <c r="A420" t="s">
        <v>16</v>
      </c>
      <c r="B420" t="s">
        <v>4704</v>
      </c>
      <c r="C420" t="s">
        <v>4705</v>
      </c>
      <c r="D420" t="s">
        <v>4736</v>
      </c>
      <c r="E420" t="s">
        <v>4737</v>
      </c>
      <c r="F420" t="s">
        <v>3547</v>
      </c>
      <c r="G420" t="s">
        <v>4738</v>
      </c>
    </row>
    <row r="421" spans="1:7" ht="11.25" customHeight="1">
      <c r="A421" t="s">
        <v>16</v>
      </c>
      <c r="B421" t="s">
        <v>4704</v>
      </c>
      <c r="C421" t="s">
        <v>4705</v>
      </c>
      <c r="D421" t="s">
        <v>4704</v>
      </c>
      <c r="E421" t="s">
        <v>4705</v>
      </c>
      <c r="F421" t="s">
        <v>3544</v>
      </c>
      <c r="G421" t="s">
        <v>4739</v>
      </c>
    </row>
    <row r="422" spans="1:7" ht="11.25" customHeight="1">
      <c r="A422" t="s">
        <v>16</v>
      </c>
      <c r="B422" t="s">
        <v>4704</v>
      </c>
      <c r="C422" t="s">
        <v>4705</v>
      </c>
      <c r="D422" t="s">
        <v>4740</v>
      </c>
      <c r="E422" t="s">
        <v>4741</v>
      </c>
      <c r="F422" t="s">
        <v>3547</v>
      </c>
      <c r="G422" t="s">
        <v>4742</v>
      </c>
    </row>
    <row r="423" spans="1:7" ht="11.25" customHeight="1">
      <c r="A423" t="s">
        <v>16</v>
      </c>
      <c r="B423" t="s">
        <v>4704</v>
      </c>
      <c r="C423" t="s">
        <v>4705</v>
      </c>
      <c r="D423" t="s">
        <v>4743</v>
      </c>
      <c r="E423" t="s">
        <v>4744</v>
      </c>
      <c r="F423" t="s">
        <v>3547</v>
      </c>
      <c r="G423" t="s">
        <v>4745</v>
      </c>
    </row>
    <row r="424" spans="1:7" ht="11.25" customHeight="1">
      <c r="A424" t="s">
        <v>16</v>
      </c>
      <c r="B424" t="s">
        <v>4704</v>
      </c>
      <c r="C424" t="s">
        <v>4705</v>
      </c>
      <c r="D424" t="s">
        <v>4746</v>
      </c>
      <c r="E424" t="s">
        <v>4747</v>
      </c>
      <c r="F424" t="s">
        <v>3547</v>
      </c>
      <c r="G424" t="s">
        <v>4748</v>
      </c>
    </row>
    <row r="425" spans="1:7" ht="11.25" customHeight="1">
      <c r="A425" t="s">
        <v>16</v>
      </c>
      <c r="B425" t="s">
        <v>4704</v>
      </c>
      <c r="C425" t="s">
        <v>4705</v>
      </c>
      <c r="D425" t="s">
        <v>4214</v>
      </c>
      <c r="E425" t="s">
        <v>4749</v>
      </c>
      <c r="F425" t="s">
        <v>3547</v>
      </c>
      <c r="G425" t="s">
        <v>4750</v>
      </c>
    </row>
    <row r="426" spans="1:7" ht="11.25" customHeight="1">
      <c r="A426" t="s">
        <v>16</v>
      </c>
      <c r="B426" t="s">
        <v>4704</v>
      </c>
      <c r="C426" t="s">
        <v>4705</v>
      </c>
      <c r="D426" t="s">
        <v>4751</v>
      </c>
      <c r="E426" t="s">
        <v>4752</v>
      </c>
      <c r="F426" t="s">
        <v>3547</v>
      </c>
      <c r="G426" t="s">
        <v>4753</v>
      </c>
    </row>
    <row r="427" spans="1:7" ht="11.25" customHeight="1">
      <c r="A427" t="s">
        <v>16</v>
      </c>
      <c r="B427" t="s">
        <v>4704</v>
      </c>
      <c r="C427" t="s">
        <v>4705</v>
      </c>
      <c r="D427" t="s">
        <v>4754</v>
      </c>
      <c r="E427" t="s">
        <v>4755</v>
      </c>
      <c r="F427" t="s">
        <v>3547</v>
      </c>
      <c r="G427" t="s">
        <v>4756</v>
      </c>
    </row>
    <row r="428" spans="1:7" ht="11.25" customHeight="1">
      <c r="A428" t="s">
        <v>16</v>
      </c>
      <c r="B428" t="s">
        <v>4704</v>
      </c>
      <c r="C428" t="s">
        <v>4705</v>
      </c>
      <c r="D428" t="s">
        <v>4757</v>
      </c>
      <c r="E428" t="s">
        <v>4758</v>
      </c>
      <c r="F428" t="s">
        <v>3547</v>
      </c>
      <c r="G428" t="s">
        <v>4759</v>
      </c>
    </row>
    <row r="429" spans="1:7" ht="11.25" customHeight="1">
      <c r="A429" t="s">
        <v>16</v>
      </c>
      <c r="B429" t="s">
        <v>4704</v>
      </c>
      <c r="C429" t="s">
        <v>4705</v>
      </c>
      <c r="D429" t="s">
        <v>4760</v>
      </c>
      <c r="E429" t="s">
        <v>4761</v>
      </c>
      <c r="F429" t="s">
        <v>3547</v>
      </c>
      <c r="G429" t="s">
        <v>4762</v>
      </c>
    </row>
    <row r="430" spans="1:7" ht="11.25" customHeight="1">
      <c r="A430" t="s">
        <v>16</v>
      </c>
      <c r="B430" t="s">
        <v>4704</v>
      </c>
      <c r="C430" t="s">
        <v>4705</v>
      </c>
      <c r="D430" t="s">
        <v>4763</v>
      </c>
      <c r="E430" t="s">
        <v>4764</v>
      </c>
      <c r="F430" t="s">
        <v>3547</v>
      </c>
      <c r="G430" t="s">
        <v>4765</v>
      </c>
    </row>
    <row r="431" spans="1:7" ht="11.25" customHeight="1">
      <c r="A431" t="s">
        <v>16</v>
      </c>
      <c r="B431" t="s">
        <v>4704</v>
      </c>
      <c r="C431" t="s">
        <v>4705</v>
      </c>
      <c r="D431" t="s">
        <v>4766</v>
      </c>
      <c r="E431" t="s">
        <v>4767</v>
      </c>
      <c r="F431" t="s">
        <v>3547</v>
      </c>
      <c r="G431" t="s">
        <v>4768</v>
      </c>
    </row>
    <row r="432" spans="1:7" ht="11.25" customHeight="1">
      <c r="A432" t="s">
        <v>16</v>
      </c>
      <c r="B432" t="s">
        <v>4704</v>
      </c>
      <c r="C432" t="s">
        <v>4705</v>
      </c>
      <c r="D432" t="s">
        <v>3637</v>
      </c>
      <c r="E432" t="s">
        <v>4769</v>
      </c>
      <c r="F432" t="s">
        <v>3547</v>
      </c>
      <c r="G432" t="s">
        <v>4770</v>
      </c>
    </row>
    <row r="433" spans="1:7" ht="11.25" customHeight="1">
      <c r="A433" t="s">
        <v>16</v>
      </c>
      <c r="B433" t="s">
        <v>4704</v>
      </c>
      <c r="C433" t="s">
        <v>4705</v>
      </c>
      <c r="D433" t="s">
        <v>4771</v>
      </c>
      <c r="E433" t="s">
        <v>4772</v>
      </c>
      <c r="F433" t="s">
        <v>3547</v>
      </c>
      <c r="G433" t="s">
        <v>4773</v>
      </c>
    </row>
    <row r="434" spans="1:7" ht="11.25" customHeight="1">
      <c r="A434" t="s">
        <v>16</v>
      </c>
      <c r="B434" t="s">
        <v>4774</v>
      </c>
      <c r="C434" t="s">
        <v>4775</v>
      </c>
      <c r="D434" t="s">
        <v>4776</v>
      </c>
      <c r="E434" t="s">
        <v>4777</v>
      </c>
      <c r="F434" t="s">
        <v>3547</v>
      </c>
      <c r="G434" t="s">
        <v>4778</v>
      </c>
    </row>
    <row r="435" spans="1:7" ht="11.25" customHeight="1">
      <c r="A435" t="s">
        <v>16</v>
      </c>
      <c r="B435" t="s">
        <v>4774</v>
      </c>
      <c r="C435" t="s">
        <v>4775</v>
      </c>
      <c r="D435" t="s">
        <v>4779</v>
      </c>
      <c r="E435" t="s">
        <v>4780</v>
      </c>
      <c r="F435" t="s">
        <v>3547</v>
      </c>
      <c r="G435" t="s">
        <v>4781</v>
      </c>
    </row>
    <row r="436" spans="1:7" ht="11.25" customHeight="1">
      <c r="A436" t="s">
        <v>16</v>
      </c>
      <c r="B436" t="s">
        <v>4774</v>
      </c>
      <c r="C436" t="s">
        <v>4775</v>
      </c>
      <c r="D436" t="s">
        <v>4782</v>
      </c>
      <c r="E436" t="s">
        <v>4783</v>
      </c>
      <c r="F436" t="s">
        <v>3547</v>
      </c>
      <c r="G436" t="s">
        <v>4784</v>
      </c>
    </row>
    <row r="437" spans="1:7" ht="11.25" customHeight="1">
      <c r="A437" t="s">
        <v>16</v>
      </c>
      <c r="B437" t="s">
        <v>4774</v>
      </c>
      <c r="C437" t="s">
        <v>4775</v>
      </c>
      <c r="D437" t="s">
        <v>4785</v>
      </c>
      <c r="E437" t="s">
        <v>4786</v>
      </c>
      <c r="F437" t="s">
        <v>3547</v>
      </c>
      <c r="G437" t="s">
        <v>4787</v>
      </c>
    </row>
    <row r="438" spans="1:7" ht="11.25" customHeight="1">
      <c r="A438" t="s">
        <v>16</v>
      </c>
      <c r="B438" t="s">
        <v>4774</v>
      </c>
      <c r="C438" t="s">
        <v>4775</v>
      </c>
      <c r="D438" t="s">
        <v>4788</v>
      </c>
      <c r="E438" t="s">
        <v>4789</v>
      </c>
      <c r="F438" t="s">
        <v>3547</v>
      </c>
      <c r="G438" t="s">
        <v>4790</v>
      </c>
    </row>
    <row r="439" spans="1:7" ht="11.25" customHeight="1">
      <c r="A439" t="s">
        <v>16</v>
      </c>
      <c r="B439" t="s">
        <v>4774</v>
      </c>
      <c r="C439" t="s">
        <v>4775</v>
      </c>
      <c r="D439" t="s">
        <v>4791</v>
      </c>
      <c r="E439" t="s">
        <v>4792</v>
      </c>
      <c r="F439" t="s">
        <v>3547</v>
      </c>
      <c r="G439" t="s">
        <v>4793</v>
      </c>
    </row>
    <row r="440" spans="1:7" ht="11.25" customHeight="1">
      <c r="A440" t="s">
        <v>16</v>
      </c>
      <c r="B440" t="s">
        <v>4774</v>
      </c>
      <c r="C440" t="s">
        <v>4775</v>
      </c>
      <c r="D440" t="s">
        <v>4794</v>
      </c>
      <c r="E440" t="s">
        <v>4795</v>
      </c>
      <c r="F440" t="s">
        <v>3547</v>
      </c>
      <c r="G440" t="s">
        <v>4796</v>
      </c>
    </row>
    <row r="441" spans="1:7" ht="11.25" customHeight="1">
      <c r="A441" t="s">
        <v>16</v>
      </c>
      <c r="B441" t="s">
        <v>4774</v>
      </c>
      <c r="C441" t="s">
        <v>4775</v>
      </c>
      <c r="D441" t="s">
        <v>4797</v>
      </c>
      <c r="E441" t="s">
        <v>4798</v>
      </c>
      <c r="F441" t="s">
        <v>3547</v>
      </c>
      <c r="G441" t="s">
        <v>4799</v>
      </c>
    </row>
    <row r="442" spans="1:7" ht="11.25" customHeight="1">
      <c r="A442" t="s">
        <v>16</v>
      </c>
      <c r="B442" t="s">
        <v>4774</v>
      </c>
      <c r="C442" t="s">
        <v>4775</v>
      </c>
      <c r="D442" t="s">
        <v>4800</v>
      </c>
      <c r="E442" t="s">
        <v>4801</v>
      </c>
      <c r="F442" t="s">
        <v>3552</v>
      </c>
      <c r="G442" t="s">
        <v>4802</v>
      </c>
    </row>
    <row r="443" spans="1:7" ht="11.25" customHeight="1">
      <c r="A443" t="s">
        <v>16</v>
      </c>
      <c r="B443" t="s">
        <v>4774</v>
      </c>
      <c r="C443" t="s">
        <v>4775</v>
      </c>
      <c r="D443" t="s">
        <v>4774</v>
      </c>
      <c r="E443" t="s">
        <v>4775</v>
      </c>
      <c r="F443" t="s">
        <v>3544</v>
      </c>
      <c r="G443" t="s">
        <v>4803</v>
      </c>
    </row>
    <row r="444" spans="1:7" ht="11.25" customHeight="1">
      <c r="A444" t="s">
        <v>16</v>
      </c>
      <c r="B444" t="s">
        <v>4774</v>
      </c>
      <c r="C444" t="s">
        <v>4775</v>
      </c>
      <c r="D444" t="s">
        <v>4804</v>
      </c>
      <c r="E444" t="s">
        <v>4805</v>
      </c>
      <c r="F444" t="s">
        <v>3547</v>
      </c>
      <c r="G444" t="s">
        <v>4806</v>
      </c>
    </row>
    <row r="445" spans="1:7" ht="11.25" customHeight="1">
      <c r="A445" t="s">
        <v>16</v>
      </c>
      <c r="B445" t="s">
        <v>4774</v>
      </c>
      <c r="C445" t="s">
        <v>4775</v>
      </c>
      <c r="D445" t="s">
        <v>4807</v>
      </c>
      <c r="E445" t="s">
        <v>4808</v>
      </c>
      <c r="F445" t="s">
        <v>3547</v>
      </c>
      <c r="G445" t="s">
        <v>4809</v>
      </c>
    </row>
    <row r="446" spans="1:7" ht="11.25" customHeight="1">
      <c r="A446" t="s">
        <v>16</v>
      </c>
      <c r="B446" t="s">
        <v>4774</v>
      </c>
      <c r="C446" t="s">
        <v>4775</v>
      </c>
      <c r="D446" t="s">
        <v>4810</v>
      </c>
      <c r="E446" t="s">
        <v>4811</v>
      </c>
      <c r="F446" t="s">
        <v>3547</v>
      </c>
      <c r="G446" t="s">
        <v>4812</v>
      </c>
    </row>
    <row r="447" spans="1:7" ht="11.25" customHeight="1">
      <c r="A447" t="s">
        <v>16</v>
      </c>
      <c r="B447" t="s">
        <v>4774</v>
      </c>
      <c r="C447" t="s">
        <v>4775</v>
      </c>
      <c r="D447" t="s">
        <v>4813</v>
      </c>
      <c r="E447" t="s">
        <v>4814</v>
      </c>
      <c r="F447" t="s">
        <v>3547</v>
      </c>
      <c r="G447" t="s">
        <v>4815</v>
      </c>
    </row>
    <row r="448" spans="1:7" ht="11.25" customHeight="1">
      <c r="A448" t="s">
        <v>16</v>
      </c>
      <c r="B448" t="s">
        <v>4774</v>
      </c>
      <c r="C448" t="s">
        <v>4775</v>
      </c>
      <c r="D448" t="s">
        <v>4816</v>
      </c>
      <c r="E448" t="s">
        <v>4817</v>
      </c>
      <c r="F448" t="s">
        <v>3547</v>
      </c>
      <c r="G448" t="s">
        <v>4818</v>
      </c>
    </row>
    <row r="449" spans="1:7" ht="11.25" customHeight="1">
      <c r="A449" t="s">
        <v>16</v>
      </c>
      <c r="B449" t="s">
        <v>4774</v>
      </c>
      <c r="C449" t="s">
        <v>4775</v>
      </c>
      <c r="D449" t="s">
        <v>4819</v>
      </c>
      <c r="E449" t="s">
        <v>4820</v>
      </c>
      <c r="F449" t="s">
        <v>3547</v>
      </c>
      <c r="G449" t="s">
        <v>4821</v>
      </c>
    </row>
    <row r="450" spans="1:7" ht="11.25" customHeight="1">
      <c r="A450" t="s">
        <v>16</v>
      </c>
      <c r="B450" t="s">
        <v>4774</v>
      </c>
      <c r="C450" t="s">
        <v>4775</v>
      </c>
      <c r="D450" t="s">
        <v>4414</v>
      </c>
      <c r="E450" t="s">
        <v>4822</v>
      </c>
      <c r="F450" t="s">
        <v>3547</v>
      </c>
      <c r="G450" t="s">
        <v>4823</v>
      </c>
    </row>
    <row r="451" spans="1:7" ht="11.25" customHeight="1">
      <c r="A451" t="s">
        <v>16</v>
      </c>
      <c r="B451" t="s">
        <v>4774</v>
      </c>
      <c r="C451" t="s">
        <v>4775</v>
      </c>
      <c r="D451" t="s">
        <v>4491</v>
      </c>
      <c r="E451" t="s">
        <v>4824</v>
      </c>
      <c r="F451" t="s">
        <v>3547</v>
      </c>
      <c r="G451" t="s">
        <v>4825</v>
      </c>
    </row>
    <row r="452" spans="1:7" ht="11.25" customHeight="1">
      <c r="A452" t="s">
        <v>16</v>
      </c>
      <c r="B452" t="s">
        <v>4774</v>
      </c>
      <c r="C452" t="s">
        <v>4775</v>
      </c>
      <c r="D452" t="s">
        <v>4826</v>
      </c>
      <c r="E452" t="s">
        <v>4827</v>
      </c>
      <c r="F452" t="s">
        <v>3547</v>
      </c>
      <c r="G452" t="s">
        <v>4828</v>
      </c>
    </row>
    <row r="453" spans="1:7" ht="11.25" customHeight="1">
      <c r="A453" t="s">
        <v>16</v>
      </c>
      <c r="B453" t="s">
        <v>4774</v>
      </c>
      <c r="C453" t="s">
        <v>4775</v>
      </c>
      <c r="D453" t="s">
        <v>4829</v>
      </c>
      <c r="E453" t="s">
        <v>4830</v>
      </c>
      <c r="F453" t="s">
        <v>3547</v>
      </c>
      <c r="G453" t="s">
        <v>4831</v>
      </c>
    </row>
    <row r="454" spans="1:7" ht="11.25" customHeight="1">
      <c r="A454" t="s">
        <v>16</v>
      </c>
      <c r="B454" t="s">
        <v>4774</v>
      </c>
      <c r="C454" t="s">
        <v>4775</v>
      </c>
      <c r="D454" t="s">
        <v>4832</v>
      </c>
      <c r="E454" t="s">
        <v>4833</v>
      </c>
      <c r="F454" t="s">
        <v>3547</v>
      </c>
      <c r="G454" t="s">
        <v>4834</v>
      </c>
    </row>
    <row r="455" spans="1:7" ht="11.25" customHeight="1">
      <c r="A455" t="s">
        <v>16</v>
      </c>
      <c r="B455" t="s">
        <v>4774</v>
      </c>
      <c r="C455" t="s">
        <v>4775</v>
      </c>
      <c r="D455" t="s">
        <v>4835</v>
      </c>
      <c r="E455" t="s">
        <v>4836</v>
      </c>
      <c r="F455" t="s">
        <v>3547</v>
      </c>
      <c r="G455" t="s">
        <v>4837</v>
      </c>
    </row>
    <row r="456" spans="1:7" ht="11.25" customHeight="1">
      <c r="A456" t="s">
        <v>16</v>
      </c>
      <c r="B456" t="s">
        <v>4774</v>
      </c>
      <c r="C456" t="s">
        <v>4775</v>
      </c>
      <c r="D456" t="s">
        <v>4838</v>
      </c>
      <c r="E456" t="s">
        <v>4839</v>
      </c>
      <c r="F456" t="s">
        <v>3547</v>
      </c>
      <c r="G456" t="s">
        <v>4840</v>
      </c>
    </row>
    <row r="457" spans="1:7" ht="11.25" customHeight="1">
      <c r="A457" t="s">
        <v>16</v>
      </c>
      <c r="B457" t="s">
        <v>4774</v>
      </c>
      <c r="C457" t="s">
        <v>4775</v>
      </c>
      <c r="D457" t="s">
        <v>4841</v>
      </c>
      <c r="E457" t="s">
        <v>4842</v>
      </c>
      <c r="F457" t="s">
        <v>3649</v>
      </c>
      <c r="G457" t="s">
        <v>4843</v>
      </c>
    </row>
    <row r="458" spans="1:7" ht="11.25" customHeight="1">
      <c r="A458" t="s">
        <v>16</v>
      </c>
      <c r="B458" t="s">
        <v>4774</v>
      </c>
      <c r="C458" t="s">
        <v>4775</v>
      </c>
      <c r="D458" t="s">
        <v>4844</v>
      </c>
      <c r="E458" t="s">
        <v>4845</v>
      </c>
      <c r="F458" t="s">
        <v>3649</v>
      </c>
      <c r="G458" t="s">
        <v>4846</v>
      </c>
    </row>
    <row r="459" spans="1:7" ht="11.25" customHeight="1">
      <c r="A459" t="s">
        <v>16</v>
      </c>
      <c r="B459" t="s">
        <v>4847</v>
      </c>
      <c r="C459" t="s">
        <v>4848</v>
      </c>
      <c r="D459" t="s">
        <v>4849</v>
      </c>
      <c r="E459" t="s">
        <v>4850</v>
      </c>
      <c r="F459" t="s">
        <v>3547</v>
      </c>
      <c r="G459" t="s">
        <v>4851</v>
      </c>
    </row>
    <row r="460" spans="1:7" ht="11.25" customHeight="1">
      <c r="A460" t="s">
        <v>16</v>
      </c>
      <c r="B460" t="s">
        <v>4847</v>
      </c>
      <c r="C460" t="s">
        <v>4848</v>
      </c>
      <c r="D460" t="s">
        <v>4852</v>
      </c>
      <c r="E460" t="s">
        <v>4853</v>
      </c>
      <c r="F460" t="s">
        <v>3547</v>
      </c>
      <c r="G460" t="s">
        <v>4854</v>
      </c>
    </row>
    <row r="461" spans="1:7" ht="11.25" customHeight="1">
      <c r="A461" t="s">
        <v>16</v>
      </c>
      <c r="B461" t="s">
        <v>4847</v>
      </c>
      <c r="C461" t="s">
        <v>4848</v>
      </c>
      <c r="D461" t="s">
        <v>4855</v>
      </c>
      <c r="E461" t="s">
        <v>4856</v>
      </c>
      <c r="F461" t="s">
        <v>3547</v>
      </c>
      <c r="G461" t="s">
        <v>4857</v>
      </c>
    </row>
    <row r="462" spans="1:7" ht="11.25" customHeight="1">
      <c r="A462" t="s">
        <v>16</v>
      </c>
      <c r="B462" t="s">
        <v>4847</v>
      </c>
      <c r="C462" t="s">
        <v>4848</v>
      </c>
      <c r="D462" t="s">
        <v>4858</v>
      </c>
      <c r="E462" t="s">
        <v>4859</v>
      </c>
      <c r="F462" t="s">
        <v>3547</v>
      </c>
      <c r="G462" t="s">
        <v>4860</v>
      </c>
    </row>
    <row r="463" spans="1:7" ht="11.25" customHeight="1">
      <c r="A463" t="s">
        <v>16</v>
      </c>
      <c r="B463" t="s">
        <v>4847</v>
      </c>
      <c r="C463" t="s">
        <v>4848</v>
      </c>
      <c r="D463" t="s">
        <v>4861</v>
      </c>
      <c r="E463" t="s">
        <v>4862</v>
      </c>
      <c r="F463" t="s">
        <v>3547</v>
      </c>
      <c r="G463" t="s">
        <v>4863</v>
      </c>
    </row>
    <row r="464" spans="1:7" ht="11.25" customHeight="1">
      <c r="A464" t="s">
        <v>16</v>
      </c>
      <c r="B464" t="s">
        <v>4847</v>
      </c>
      <c r="C464" t="s">
        <v>4848</v>
      </c>
      <c r="D464" t="s">
        <v>4847</v>
      </c>
      <c r="E464" t="s">
        <v>4848</v>
      </c>
      <c r="F464" t="s">
        <v>3544</v>
      </c>
      <c r="G464" t="s">
        <v>4864</v>
      </c>
    </row>
    <row r="465" spans="1:7" ht="11.25" customHeight="1">
      <c r="A465" t="s">
        <v>16</v>
      </c>
      <c r="B465" t="s">
        <v>4847</v>
      </c>
      <c r="C465" t="s">
        <v>4848</v>
      </c>
      <c r="D465" t="s">
        <v>4865</v>
      </c>
      <c r="E465" t="s">
        <v>4866</v>
      </c>
      <c r="F465" t="s">
        <v>3547</v>
      </c>
      <c r="G465" t="s">
        <v>4867</v>
      </c>
    </row>
    <row r="466" spans="1:7" ht="11.25" customHeight="1">
      <c r="A466" t="s">
        <v>16</v>
      </c>
      <c r="B466" t="s">
        <v>4847</v>
      </c>
      <c r="C466" t="s">
        <v>4848</v>
      </c>
      <c r="D466" t="s">
        <v>4868</v>
      </c>
      <c r="E466" t="s">
        <v>4869</v>
      </c>
      <c r="F466" t="s">
        <v>3547</v>
      </c>
      <c r="G466" t="s">
        <v>4870</v>
      </c>
    </row>
    <row r="467" spans="1:7" ht="11.25" customHeight="1">
      <c r="A467" t="s">
        <v>16</v>
      </c>
      <c r="B467" t="s">
        <v>4847</v>
      </c>
      <c r="C467" t="s">
        <v>4848</v>
      </c>
      <c r="D467" t="s">
        <v>4871</v>
      </c>
      <c r="E467" t="s">
        <v>4872</v>
      </c>
      <c r="F467" t="s">
        <v>3547</v>
      </c>
      <c r="G467" t="s">
        <v>4873</v>
      </c>
    </row>
    <row r="468" spans="1:7" ht="11.25" customHeight="1">
      <c r="A468" t="s">
        <v>16</v>
      </c>
      <c r="B468" t="s">
        <v>4847</v>
      </c>
      <c r="C468" t="s">
        <v>4848</v>
      </c>
      <c r="D468" t="s">
        <v>4874</v>
      </c>
      <c r="E468" t="s">
        <v>4875</v>
      </c>
      <c r="F468" t="s">
        <v>3547</v>
      </c>
      <c r="G468" t="s">
        <v>4876</v>
      </c>
    </row>
    <row r="469" spans="1:7" ht="11.25" customHeight="1">
      <c r="A469" t="s">
        <v>16</v>
      </c>
      <c r="B469" t="s">
        <v>4847</v>
      </c>
      <c r="C469" t="s">
        <v>4848</v>
      </c>
      <c r="D469" t="s">
        <v>4877</v>
      </c>
      <c r="E469" t="s">
        <v>4878</v>
      </c>
      <c r="F469" t="s">
        <v>3547</v>
      </c>
      <c r="G469" t="s">
        <v>4879</v>
      </c>
    </row>
    <row r="470" spans="1:7" ht="11.25" customHeight="1">
      <c r="A470" t="s">
        <v>16</v>
      </c>
      <c r="B470" t="s">
        <v>4847</v>
      </c>
      <c r="C470" t="s">
        <v>4848</v>
      </c>
      <c r="D470" t="s">
        <v>4880</v>
      </c>
      <c r="E470" t="s">
        <v>4881</v>
      </c>
      <c r="F470" t="s">
        <v>3547</v>
      </c>
      <c r="G470" t="s">
        <v>4882</v>
      </c>
    </row>
    <row r="471" spans="1:7" ht="11.25" customHeight="1">
      <c r="A471" t="s">
        <v>16</v>
      </c>
      <c r="B471" t="s">
        <v>4847</v>
      </c>
      <c r="C471" t="s">
        <v>4848</v>
      </c>
      <c r="D471" t="s">
        <v>4883</v>
      </c>
      <c r="E471" t="s">
        <v>4884</v>
      </c>
      <c r="F471" t="s">
        <v>3547</v>
      </c>
      <c r="G471" t="s">
        <v>4885</v>
      </c>
    </row>
    <row r="472" spans="1:7" ht="11.25" customHeight="1">
      <c r="A472" t="s">
        <v>16</v>
      </c>
      <c r="B472" t="s">
        <v>4847</v>
      </c>
      <c r="C472" t="s">
        <v>4848</v>
      </c>
      <c r="D472" t="s">
        <v>4886</v>
      </c>
      <c r="E472" t="s">
        <v>4887</v>
      </c>
      <c r="F472" t="s">
        <v>3547</v>
      </c>
      <c r="G472" t="s">
        <v>4888</v>
      </c>
    </row>
    <row r="473" spans="1:7" ht="11.25" customHeight="1">
      <c r="A473" t="s">
        <v>16</v>
      </c>
      <c r="B473" t="s">
        <v>4847</v>
      </c>
      <c r="C473" t="s">
        <v>4848</v>
      </c>
      <c r="D473" t="s">
        <v>4889</v>
      </c>
      <c r="E473" t="s">
        <v>4890</v>
      </c>
      <c r="F473" t="s">
        <v>3547</v>
      </c>
      <c r="G473" t="s">
        <v>4891</v>
      </c>
    </row>
    <row r="474" spans="1:7" ht="11.25" customHeight="1">
      <c r="A474" t="s">
        <v>16</v>
      </c>
      <c r="B474" t="s">
        <v>4847</v>
      </c>
      <c r="C474" t="s">
        <v>4848</v>
      </c>
      <c r="D474" t="s">
        <v>4892</v>
      </c>
      <c r="E474" t="s">
        <v>4893</v>
      </c>
      <c r="F474" t="s">
        <v>3547</v>
      </c>
      <c r="G474" t="s">
        <v>4894</v>
      </c>
    </row>
    <row r="475" spans="1:7" ht="11.25" customHeight="1">
      <c r="A475" t="s">
        <v>16</v>
      </c>
      <c r="B475" t="s">
        <v>4847</v>
      </c>
      <c r="C475" t="s">
        <v>4848</v>
      </c>
      <c r="D475" t="s">
        <v>4895</v>
      </c>
      <c r="E475" t="s">
        <v>4896</v>
      </c>
      <c r="F475" t="s">
        <v>3547</v>
      </c>
      <c r="G475" t="s">
        <v>4897</v>
      </c>
    </row>
    <row r="476" spans="1:7" ht="11.25" customHeight="1">
      <c r="A476" t="s">
        <v>16</v>
      </c>
      <c r="B476" t="s">
        <v>4847</v>
      </c>
      <c r="C476" t="s">
        <v>4848</v>
      </c>
      <c r="D476" t="s">
        <v>4898</v>
      </c>
      <c r="E476" t="s">
        <v>4899</v>
      </c>
      <c r="F476" t="s">
        <v>3547</v>
      </c>
      <c r="G476" t="s">
        <v>4900</v>
      </c>
    </row>
    <row r="477" spans="1:7" ht="11.25" customHeight="1">
      <c r="A477" t="s">
        <v>16</v>
      </c>
      <c r="B477" t="s">
        <v>4901</v>
      </c>
      <c r="C477" t="s">
        <v>4902</v>
      </c>
      <c r="D477" t="s">
        <v>3599</v>
      </c>
      <c r="E477" t="s">
        <v>4903</v>
      </c>
      <c r="F477" t="s">
        <v>3547</v>
      </c>
      <c r="G477" t="s">
        <v>4904</v>
      </c>
    </row>
    <row r="478" spans="1:7" ht="11.25" customHeight="1">
      <c r="A478" t="s">
        <v>16</v>
      </c>
      <c r="B478" t="s">
        <v>4901</v>
      </c>
      <c r="C478" t="s">
        <v>4902</v>
      </c>
      <c r="D478" t="s">
        <v>4905</v>
      </c>
      <c r="E478" t="s">
        <v>4906</v>
      </c>
      <c r="F478" t="s">
        <v>3547</v>
      </c>
      <c r="G478" t="s">
        <v>4907</v>
      </c>
    </row>
    <row r="479" spans="1:7" ht="11.25" customHeight="1">
      <c r="A479" t="s">
        <v>16</v>
      </c>
      <c r="B479" t="s">
        <v>4901</v>
      </c>
      <c r="C479" t="s">
        <v>4902</v>
      </c>
      <c r="D479" t="s">
        <v>4908</v>
      </c>
      <c r="E479" t="s">
        <v>4909</v>
      </c>
      <c r="F479" t="s">
        <v>3547</v>
      </c>
      <c r="G479" t="s">
        <v>4910</v>
      </c>
    </row>
    <row r="480" spans="1:7" ht="11.25" customHeight="1">
      <c r="A480" t="s">
        <v>16</v>
      </c>
      <c r="B480" t="s">
        <v>4901</v>
      </c>
      <c r="C480" t="s">
        <v>4902</v>
      </c>
      <c r="D480" t="s">
        <v>4911</v>
      </c>
      <c r="E480" t="s">
        <v>4912</v>
      </c>
      <c r="F480" t="s">
        <v>3547</v>
      </c>
      <c r="G480" t="s">
        <v>4913</v>
      </c>
    </row>
    <row r="481" spans="1:7" ht="11.25" customHeight="1">
      <c r="A481" t="s">
        <v>16</v>
      </c>
      <c r="B481" t="s">
        <v>4901</v>
      </c>
      <c r="C481" t="s">
        <v>4902</v>
      </c>
      <c r="D481" t="s">
        <v>4914</v>
      </c>
      <c r="E481" t="s">
        <v>4915</v>
      </c>
      <c r="F481" t="s">
        <v>3547</v>
      </c>
      <c r="G481" t="s">
        <v>4916</v>
      </c>
    </row>
    <row r="482" spans="1:7" ht="11.25" customHeight="1">
      <c r="A482" t="s">
        <v>16</v>
      </c>
      <c r="B482" t="s">
        <v>4901</v>
      </c>
      <c r="C482" t="s">
        <v>4902</v>
      </c>
      <c r="D482" t="s">
        <v>4917</v>
      </c>
      <c r="E482" t="s">
        <v>4918</v>
      </c>
      <c r="F482" t="s">
        <v>3547</v>
      </c>
      <c r="G482" t="s">
        <v>4919</v>
      </c>
    </row>
    <row r="483" spans="1:7" ht="11.25" customHeight="1">
      <c r="A483" t="s">
        <v>16</v>
      </c>
      <c r="B483" t="s">
        <v>4901</v>
      </c>
      <c r="C483" t="s">
        <v>4902</v>
      </c>
      <c r="D483" t="s">
        <v>4901</v>
      </c>
      <c r="E483" t="s">
        <v>4902</v>
      </c>
      <c r="F483" t="s">
        <v>3544</v>
      </c>
      <c r="G483" t="s">
        <v>4920</v>
      </c>
    </row>
    <row r="484" spans="1:7" ht="11.25" customHeight="1">
      <c r="A484" t="s">
        <v>16</v>
      </c>
      <c r="B484" t="s">
        <v>4901</v>
      </c>
      <c r="C484" t="s">
        <v>4902</v>
      </c>
      <c r="D484" t="s">
        <v>4921</v>
      </c>
      <c r="E484" t="s">
        <v>4922</v>
      </c>
      <c r="F484" t="s">
        <v>3547</v>
      </c>
      <c r="G484" t="s">
        <v>4923</v>
      </c>
    </row>
    <row r="485" spans="1:7" ht="11.25" customHeight="1">
      <c r="A485" t="s">
        <v>16</v>
      </c>
      <c r="B485" t="s">
        <v>4901</v>
      </c>
      <c r="C485" t="s">
        <v>4902</v>
      </c>
      <c r="D485" t="s">
        <v>4924</v>
      </c>
      <c r="E485" t="s">
        <v>4925</v>
      </c>
      <c r="F485" t="s">
        <v>3547</v>
      </c>
      <c r="G485" t="s">
        <v>4926</v>
      </c>
    </row>
    <row r="486" spans="1:7" ht="11.25" customHeight="1">
      <c r="A486" t="s">
        <v>16</v>
      </c>
      <c r="B486" t="s">
        <v>4901</v>
      </c>
      <c r="C486" t="s">
        <v>4902</v>
      </c>
      <c r="D486" t="s">
        <v>4927</v>
      </c>
      <c r="E486" t="s">
        <v>4928</v>
      </c>
      <c r="F486" t="s">
        <v>3547</v>
      </c>
      <c r="G486" t="s">
        <v>4929</v>
      </c>
    </row>
    <row r="487" spans="1:7" ht="11.25" customHeight="1">
      <c r="A487" t="s">
        <v>16</v>
      </c>
      <c r="B487" t="s">
        <v>4901</v>
      </c>
      <c r="C487" t="s">
        <v>4902</v>
      </c>
      <c r="D487" t="s">
        <v>4930</v>
      </c>
      <c r="E487" t="s">
        <v>4931</v>
      </c>
      <c r="F487" t="s">
        <v>3547</v>
      </c>
      <c r="G487" t="s">
        <v>4932</v>
      </c>
    </row>
    <row r="488" spans="1:7" ht="11.25" customHeight="1">
      <c r="A488" t="s">
        <v>16</v>
      </c>
      <c r="B488" t="s">
        <v>4901</v>
      </c>
      <c r="C488" t="s">
        <v>4902</v>
      </c>
      <c r="D488" t="s">
        <v>4933</v>
      </c>
      <c r="E488" t="s">
        <v>4934</v>
      </c>
      <c r="F488" t="s">
        <v>3547</v>
      </c>
      <c r="G488" t="s">
        <v>4935</v>
      </c>
    </row>
    <row r="489" spans="1:7" ht="11.25" customHeight="1">
      <c r="A489" t="s">
        <v>16</v>
      </c>
      <c r="B489" t="s">
        <v>4901</v>
      </c>
      <c r="C489" t="s">
        <v>4902</v>
      </c>
      <c r="D489" t="s">
        <v>4936</v>
      </c>
      <c r="E489" t="s">
        <v>4937</v>
      </c>
      <c r="F489" t="s">
        <v>3547</v>
      </c>
      <c r="G489" t="s">
        <v>4938</v>
      </c>
    </row>
    <row r="490" spans="1:7" ht="11.25" customHeight="1">
      <c r="A490" t="s">
        <v>16</v>
      </c>
      <c r="B490" t="s">
        <v>4901</v>
      </c>
      <c r="C490" t="s">
        <v>4902</v>
      </c>
      <c r="D490" t="s">
        <v>4939</v>
      </c>
      <c r="E490" t="s">
        <v>4940</v>
      </c>
      <c r="F490" t="s">
        <v>3547</v>
      </c>
      <c r="G490" t="s">
        <v>4941</v>
      </c>
    </row>
    <row r="491" spans="1:7" ht="11.25" customHeight="1">
      <c r="A491" t="s">
        <v>16</v>
      </c>
      <c r="B491" t="s">
        <v>4901</v>
      </c>
      <c r="C491" t="s">
        <v>4902</v>
      </c>
      <c r="D491" t="s">
        <v>4942</v>
      </c>
      <c r="E491" t="s">
        <v>4943</v>
      </c>
      <c r="F491" t="s">
        <v>3547</v>
      </c>
      <c r="G491" t="s">
        <v>4944</v>
      </c>
    </row>
    <row r="492" spans="1:7" ht="11.25" customHeight="1">
      <c r="A492" t="s">
        <v>16</v>
      </c>
      <c r="B492" t="s">
        <v>4901</v>
      </c>
      <c r="C492" t="s">
        <v>4902</v>
      </c>
      <c r="D492" t="s">
        <v>4945</v>
      </c>
      <c r="E492" t="s">
        <v>4946</v>
      </c>
      <c r="F492" t="s">
        <v>3547</v>
      </c>
      <c r="G492" t="s">
        <v>4947</v>
      </c>
    </row>
    <row r="493" spans="1:7" ht="11.25" customHeight="1">
      <c r="A493" t="s">
        <v>16</v>
      </c>
      <c r="B493" t="s">
        <v>4901</v>
      </c>
      <c r="C493" t="s">
        <v>4902</v>
      </c>
      <c r="D493" t="s">
        <v>4948</v>
      </c>
      <c r="E493" t="s">
        <v>4949</v>
      </c>
      <c r="F493" t="s">
        <v>3547</v>
      </c>
      <c r="G493" t="s">
        <v>4950</v>
      </c>
    </row>
    <row r="494" spans="1:7" ht="11.25" customHeight="1">
      <c r="A494" t="s">
        <v>16</v>
      </c>
      <c r="B494" t="s">
        <v>4901</v>
      </c>
      <c r="C494" t="s">
        <v>4902</v>
      </c>
      <c r="D494" t="s">
        <v>4951</v>
      </c>
      <c r="E494" t="s">
        <v>4952</v>
      </c>
      <c r="F494" t="s">
        <v>3547</v>
      </c>
      <c r="G494" t="s">
        <v>4953</v>
      </c>
    </row>
    <row r="495" spans="1:7" ht="11.25" customHeight="1">
      <c r="A495" t="s">
        <v>16</v>
      </c>
      <c r="B495" t="s">
        <v>4901</v>
      </c>
      <c r="C495" t="s">
        <v>4902</v>
      </c>
      <c r="D495" t="s">
        <v>4954</v>
      </c>
      <c r="E495" t="s">
        <v>4955</v>
      </c>
      <c r="F495" t="s">
        <v>3649</v>
      </c>
      <c r="G495" t="s">
        <v>4956</v>
      </c>
    </row>
    <row r="496" spans="1:7" ht="11.25" customHeight="1">
      <c r="A496" t="s">
        <v>16</v>
      </c>
      <c r="B496" t="s">
        <v>4901</v>
      </c>
      <c r="C496" t="s">
        <v>4902</v>
      </c>
      <c r="D496" t="s">
        <v>4957</v>
      </c>
      <c r="E496" t="s">
        <v>4958</v>
      </c>
      <c r="F496" t="s">
        <v>3649</v>
      </c>
      <c r="G496" t="s">
        <v>4959</v>
      </c>
    </row>
    <row r="497" spans="1:7" ht="11.25" customHeight="1">
      <c r="A497" t="s">
        <v>16</v>
      </c>
      <c r="B497" t="s">
        <v>4901</v>
      </c>
      <c r="C497" t="s">
        <v>4902</v>
      </c>
      <c r="D497" t="s">
        <v>4960</v>
      </c>
      <c r="E497" t="s">
        <v>4961</v>
      </c>
      <c r="F497" t="s">
        <v>3649</v>
      </c>
      <c r="G497" t="s">
        <v>4962</v>
      </c>
    </row>
    <row r="498" spans="1:7" ht="11.25" customHeight="1">
      <c r="A498" t="s">
        <v>16</v>
      </c>
      <c r="B498" t="s">
        <v>100</v>
      </c>
      <c r="C498" t="s">
        <v>4963</v>
      </c>
      <c r="D498" t="s">
        <v>4964</v>
      </c>
      <c r="E498" t="s">
        <v>4965</v>
      </c>
      <c r="F498" t="s">
        <v>3547</v>
      </c>
      <c r="G498" t="s">
        <v>4966</v>
      </c>
    </row>
    <row r="499" spans="1:7" ht="11.25" customHeight="1">
      <c r="A499" t="s">
        <v>16</v>
      </c>
      <c r="B499" t="s">
        <v>100</v>
      </c>
      <c r="C499" t="s">
        <v>4963</v>
      </c>
      <c r="D499" t="s">
        <v>4967</v>
      </c>
      <c r="E499" t="s">
        <v>4968</v>
      </c>
      <c r="F499" t="s">
        <v>3547</v>
      </c>
      <c r="G499" t="s">
        <v>4969</v>
      </c>
    </row>
    <row r="500" spans="1:7" ht="11.25" customHeight="1">
      <c r="A500" t="s">
        <v>16</v>
      </c>
      <c r="B500" t="s">
        <v>100</v>
      </c>
      <c r="C500" t="s">
        <v>4963</v>
      </c>
      <c r="D500" t="s">
        <v>4970</v>
      </c>
      <c r="E500" t="s">
        <v>4971</v>
      </c>
      <c r="F500" t="s">
        <v>3547</v>
      </c>
      <c r="G500" t="s">
        <v>4972</v>
      </c>
    </row>
    <row r="501" spans="1:7" ht="11.25" customHeight="1">
      <c r="A501" t="s">
        <v>16</v>
      </c>
      <c r="B501" t="s">
        <v>100</v>
      </c>
      <c r="C501" t="s">
        <v>4963</v>
      </c>
      <c r="D501" t="s">
        <v>4973</v>
      </c>
      <c r="E501" t="s">
        <v>4974</v>
      </c>
      <c r="F501" t="s">
        <v>3547</v>
      </c>
      <c r="G501" t="s">
        <v>4975</v>
      </c>
    </row>
    <row r="502" spans="1:7" ht="11.25" customHeight="1">
      <c r="A502" t="s">
        <v>16</v>
      </c>
      <c r="B502" t="s">
        <v>100</v>
      </c>
      <c r="C502" t="s">
        <v>4963</v>
      </c>
      <c r="D502" t="s">
        <v>4976</v>
      </c>
      <c r="E502" t="s">
        <v>4977</v>
      </c>
      <c r="F502" t="s">
        <v>3547</v>
      </c>
      <c r="G502" t="s">
        <v>4978</v>
      </c>
    </row>
    <row r="503" spans="1:7" ht="11.25" customHeight="1">
      <c r="A503" t="s">
        <v>16</v>
      </c>
      <c r="B503" t="s">
        <v>100</v>
      </c>
      <c r="C503" t="s">
        <v>4963</v>
      </c>
      <c r="D503" t="s">
        <v>4979</v>
      </c>
      <c r="E503" t="s">
        <v>4980</v>
      </c>
      <c r="F503" t="s">
        <v>3547</v>
      </c>
      <c r="G503" t="s">
        <v>4981</v>
      </c>
    </row>
    <row r="504" spans="1:7" ht="11.25" customHeight="1">
      <c r="A504" t="s">
        <v>16</v>
      </c>
      <c r="B504" t="s">
        <v>100</v>
      </c>
      <c r="C504" t="s">
        <v>4963</v>
      </c>
      <c r="D504" t="s">
        <v>4982</v>
      </c>
      <c r="E504" t="s">
        <v>4983</v>
      </c>
      <c r="F504" t="s">
        <v>3547</v>
      </c>
      <c r="G504" t="s">
        <v>4984</v>
      </c>
    </row>
    <row r="505" spans="1:7" ht="11.25" customHeight="1">
      <c r="A505" t="s">
        <v>16</v>
      </c>
      <c r="B505" t="s">
        <v>100</v>
      </c>
      <c r="C505" t="s">
        <v>4963</v>
      </c>
      <c r="D505" t="s">
        <v>3868</v>
      </c>
      <c r="E505" t="s">
        <v>4985</v>
      </c>
      <c r="F505" t="s">
        <v>3547</v>
      </c>
      <c r="G505" t="s">
        <v>4986</v>
      </c>
    </row>
    <row r="506" spans="1:7" ht="11.25" customHeight="1">
      <c r="A506" t="s">
        <v>16</v>
      </c>
      <c r="B506" t="s">
        <v>100</v>
      </c>
      <c r="C506" t="s">
        <v>4963</v>
      </c>
      <c r="D506" t="s">
        <v>100</v>
      </c>
      <c r="E506" t="s">
        <v>4963</v>
      </c>
      <c r="F506" t="s">
        <v>3544</v>
      </c>
      <c r="G506" t="s">
        <v>4987</v>
      </c>
    </row>
    <row r="507" spans="1:7" ht="11.25" customHeight="1">
      <c r="A507" t="s">
        <v>16</v>
      </c>
      <c r="B507" t="s">
        <v>100</v>
      </c>
      <c r="C507" t="s">
        <v>4963</v>
      </c>
      <c r="D507" t="s">
        <v>4988</v>
      </c>
      <c r="E507" t="s">
        <v>4989</v>
      </c>
      <c r="F507" t="s">
        <v>3547</v>
      </c>
      <c r="G507" t="s">
        <v>4990</v>
      </c>
    </row>
    <row r="508" spans="1:7" ht="11.25" customHeight="1">
      <c r="A508" t="s">
        <v>16</v>
      </c>
      <c r="B508" t="s">
        <v>100</v>
      </c>
      <c r="C508" t="s">
        <v>4963</v>
      </c>
      <c r="D508" t="s">
        <v>4991</v>
      </c>
      <c r="E508" t="s">
        <v>4992</v>
      </c>
      <c r="F508" t="s">
        <v>3547</v>
      </c>
      <c r="G508" t="s">
        <v>4993</v>
      </c>
    </row>
    <row r="509" spans="1:7" ht="11.25" customHeight="1">
      <c r="A509" t="s">
        <v>16</v>
      </c>
      <c r="B509" t="s">
        <v>100</v>
      </c>
      <c r="C509" t="s">
        <v>4963</v>
      </c>
      <c r="D509" t="s">
        <v>4994</v>
      </c>
      <c r="E509" t="s">
        <v>4995</v>
      </c>
      <c r="F509" t="s">
        <v>3547</v>
      </c>
      <c r="G509" t="s">
        <v>4996</v>
      </c>
    </row>
    <row r="510" spans="1:7" ht="11.25" customHeight="1">
      <c r="A510" t="s">
        <v>16</v>
      </c>
      <c r="B510" t="s">
        <v>100</v>
      </c>
      <c r="C510" t="s">
        <v>4963</v>
      </c>
      <c r="D510" t="s">
        <v>4997</v>
      </c>
      <c r="E510" t="s">
        <v>4998</v>
      </c>
      <c r="F510" t="s">
        <v>3547</v>
      </c>
      <c r="G510" t="s">
        <v>4999</v>
      </c>
    </row>
    <row r="511" spans="1:7" ht="11.25" customHeight="1">
      <c r="A511" t="s">
        <v>16</v>
      </c>
      <c r="B511" t="s">
        <v>100</v>
      </c>
      <c r="C511" t="s">
        <v>4963</v>
      </c>
      <c r="D511" t="s">
        <v>5000</v>
      </c>
      <c r="E511" t="s">
        <v>5001</v>
      </c>
      <c r="F511" t="s">
        <v>3547</v>
      </c>
      <c r="G511" t="s">
        <v>5002</v>
      </c>
    </row>
    <row r="512" spans="1:7" ht="11.25" customHeight="1">
      <c r="A512" t="s">
        <v>16</v>
      </c>
      <c r="B512" t="s">
        <v>100</v>
      </c>
      <c r="C512" t="s">
        <v>4963</v>
      </c>
      <c r="D512" t="s">
        <v>5003</v>
      </c>
      <c r="E512" t="s">
        <v>5004</v>
      </c>
      <c r="F512" t="s">
        <v>3547</v>
      </c>
      <c r="G512" t="s">
        <v>5005</v>
      </c>
    </row>
    <row r="513" spans="1:7" ht="11.25" customHeight="1">
      <c r="A513" t="s">
        <v>16</v>
      </c>
      <c r="B513" t="s">
        <v>100</v>
      </c>
      <c r="C513" t="s">
        <v>4963</v>
      </c>
      <c r="D513" t="s">
        <v>106</v>
      </c>
      <c r="E513" t="s">
        <v>107</v>
      </c>
      <c r="F513" t="s">
        <v>3547</v>
      </c>
      <c r="G513" t="s">
        <v>105</v>
      </c>
    </row>
    <row r="514" spans="1:7" ht="11.25" customHeight="1">
      <c r="A514" t="s">
        <v>16</v>
      </c>
      <c r="B514" t="s">
        <v>100</v>
      </c>
      <c r="C514" t="s">
        <v>4963</v>
      </c>
      <c r="D514" t="s">
        <v>5006</v>
      </c>
      <c r="E514" t="s">
        <v>5007</v>
      </c>
      <c r="F514" t="s">
        <v>3547</v>
      </c>
      <c r="G514" t="s">
        <v>5008</v>
      </c>
    </row>
    <row r="515" spans="1:7" ht="11.25" customHeight="1">
      <c r="A515" t="s">
        <v>16</v>
      </c>
      <c r="B515" t="s">
        <v>100</v>
      </c>
      <c r="C515" t="s">
        <v>4963</v>
      </c>
      <c r="D515" t="s">
        <v>5009</v>
      </c>
      <c r="E515" t="s">
        <v>5010</v>
      </c>
      <c r="F515" t="s">
        <v>3547</v>
      </c>
      <c r="G515" t="s">
        <v>5011</v>
      </c>
    </row>
    <row r="516" spans="1:7" ht="11.25" customHeight="1">
      <c r="A516" t="s">
        <v>16</v>
      </c>
      <c r="B516" t="s">
        <v>100</v>
      </c>
      <c r="C516" t="s">
        <v>4963</v>
      </c>
      <c r="D516" t="s">
        <v>5012</v>
      </c>
      <c r="E516" t="s">
        <v>5013</v>
      </c>
      <c r="F516" t="s">
        <v>3547</v>
      </c>
      <c r="G516" t="s">
        <v>5014</v>
      </c>
    </row>
    <row r="517" spans="1:7" ht="11.25" customHeight="1">
      <c r="A517" t="s">
        <v>16</v>
      </c>
      <c r="B517" t="s">
        <v>100</v>
      </c>
      <c r="C517" t="s">
        <v>4963</v>
      </c>
      <c r="D517" t="s">
        <v>5015</v>
      </c>
      <c r="E517" t="s">
        <v>5016</v>
      </c>
      <c r="F517" t="s">
        <v>3547</v>
      </c>
      <c r="G517" t="s">
        <v>5017</v>
      </c>
    </row>
    <row r="518" spans="1:7" ht="11.25" customHeight="1">
      <c r="A518" t="s">
        <v>16</v>
      </c>
      <c r="B518" t="s">
        <v>100</v>
      </c>
      <c r="C518" t="s">
        <v>4963</v>
      </c>
      <c r="D518" t="s">
        <v>5018</v>
      </c>
      <c r="E518" t="s">
        <v>5019</v>
      </c>
      <c r="F518" t="s">
        <v>3547</v>
      </c>
      <c r="G518" t="s">
        <v>5020</v>
      </c>
    </row>
    <row r="519" spans="1:7" ht="11.25" customHeight="1">
      <c r="A519" t="s">
        <v>16</v>
      </c>
      <c r="B519" t="s">
        <v>100</v>
      </c>
      <c r="C519" t="s">
        <v>4963</v>
      </c>
      <c r="D519" t="s">
        <v>5021</v>
      </c>
      <c r="E519" t="s">
        <v>5022</v>
      </c>
      <c r="F519" t="s">
        <v>3547</v>
      </c>
      <c r="G519" t="s">
        <v>5023</v>
      </c>
    </row>
    <row r="520" spans="1:7" ht="11.25" customHeight="1">
      <c r="A520" t="s">
        <v>16</v>
      </c>
      <c r="B520" t="s">
        <v>100</v>
      </c>
      <c r="C520" t="s">
        <v>4963</v>
      </c>
      <c r="D520" t="s">
        <v>5024</v>
      </c>
      <c r="E520" t="s">
        <v>5025</v>
      </c>
      <c r="F520" t="s">
        <v>3547</v>
      </c>
      <c r="G520" t="s">
        <v>5026</v>
      </c>
    </row>
    <row r="521" spans="1:7" ht="11.25" customHeight="1">
      <c r="A521" t="s">
        <v>16</v>
      </c>
      <c r="B521" t="s">
        <v>100</v>
      </c>
      <c r="C521" t="s">
        <v>4963</v>
      </c>
      <c r="D521" t="s">
        <v>5027</v>
      </c>
      <c r="E521" t="s">
        <v>5028</v>
      </c>
      <c r="F521" t="s">
        <v>3547</v>
      </c>
      <c r="G521" t="s">
        <v>5029</v>
      </c>
    </row>
    <row r="522" spans="1:7" ht="11.25" customHeight="1">
      <c r="A522" t="s">
        <v>16</v>
      </c>
      <c r="B522" t="s">
        <v>100</v>
      </c>
      <c r="C522" t="s">
        <v>4963</v>
      </c>
      <c r="D522" t="s">
        <v>5030</v>
      </c>
      <c r="E522" t="s">
        <v>5031</v>
      </c>
      <c r="F522" t="s">
        <v>3547</v>
      </c>
      <c r="G522" t="s">
        <v>5032</v>
      </c>
    </row>
    <row r="523" spans="1:7" ht="11.25" customHeight="1">
      <c r="A523" t="s">
        <v>16</v>
      </c>
      <c r="B523" t="s">
        <v>100</v>
      </c>
      <c r="C523" t="s">
        <v>4963</v>
      </c>
      <c r="D523" t="s">
        <v>5033</v>
      </c>
      <c r="E523" t="s">
        <v>5034</v>
      </c>
      <c r="F523" t="s">
        <v>3547</v>
      </c>
      <c r="G523" t="s">
        <v>5035</v>
      </c>
    </row>
    <row r="524" spans="1:7" ht="11.25" customHeight="1">
      <c r="A524" t="s">
        <v>16</v>
      </c>
      <c r="B524" t="s">
        <v>100</v>
      </c>
      <c r="C524" t="s">
        <v>4963</v>
      </c>
      <c r="D524" t="s">
        <v>5036</v>
      </c>
      <c r="E524" t="s">
        <v>5037</v>
      </c>
      <c r="F524" t="s">
        <v>3547</v>
      </c>
      <c r="G524" t="s">
        <v>5038</v>
      </c>
    </row>
    <row r="525" spans="1:7" ht="11.25" customHeight="1">
      <c r="A525" t="s">
        <v>16</v>
      </c>
      <c r="B525" t="s">
        <v>100</v>
      </c>
      <c r="C525" t="s">
        <v>4963</v>
      </c>
      <c r="D525" t="s">
        <v>5039</v>
      </c>
      <c r="E525" t="s">
        <v>5040</v>
      </c>
      <c r="F525" t="s">
        <v>3547</v>
      </c>
      <c r="G525" t="s">
        <v>5041</v>
      </c>
    </row>
    <row r="526" spans="1:7" ht="11.25" customHeight="1">
      <c r="A526" t="s">
        <v>16</v>
      </c>
      <c r="B526" t="s">
        <v>100</v>
      </c>
      <c r="C526" t="s">
        <v>4963</v>
      </c>
      <c r="D526" t="s">
        <v>5042</v>
      </c>
      <c r="E526" t="s">
        <v>5043</v>
      </c>
      <c r="F526" t="s">
        <v>3547</v>
      </c>
      <c r="G526" t="s">
        <v>5044</v>
      </c>
    </row>
    <row r="527" spans="1:7" ht="11.25" customHeight="1">
      <c r="A527" t="s">
        <v>16</v>
      </c>
      <c r="B527" t="s">
        <v>100</v>
      </c>
      <c r="C527" t="s">
        <v>4963</v>
      </c>
      <c r="D527" t="s">
        <v>5045</v>
      </c>
      <c r="E527" t="s">
        <v>5046</v>
      </c>
      <c r="F527" t="s">
        <v>3547</v>
      </c>
      <c r="G527" t="s">
        <v>5047</v>
      </c>
    </row>
    <row r="528" spans="1:7" ht="11.25" customHeight="1">
      <c r="A528" t="s">
        <v>16</v>
      </c>
      <c r="B528" t="s">
        <v>100</v>
      </c>
      <c r="C528" t="s">
        <v>4963</v>
      </c>
      <c r="D528" t="s">
        <v>101</v>
      </c>
      <c r="E528" t="s">
        <v>102</v>
      </c>
      <c r="F528" t="s">
        <v>3552</v>
      </c>
      <c r="G528" t="s">
        <v>99</v>
      </c>
    </row>
    <row r="529" spans="1:7" ht="11.25" customHeight="1">
      <c r="A529" t="s">
        <v>16</v>
      </c>
      <c r="B529" t="s">
        <v>5048</v>
      </c>
      <c r="C529" t="s">
        <v>5049</v>
      </c>
      <c r="D529" t="s">
        <v>4192</v>
      </c>
      <c r="E529" t="s">
        <v>5050</v>
      </c>
      <c r="F529" t="s">
        <v>3547</v>
      </c>
      <c r="G529" t="s">
        <v>5051</v>
      </c>
    </row>
    <row r="530" spans="1:7" ht="11.25" customHeight="1">
      <c r="A530" t="s">
        <v>16</v>
      </c>
      <c r="B530" t="s">
        <v>5048</v>
      </c>
      <c r="C530" t="s">
        <v>5049</v>
      </c>
      <c r="D530" t="s">
        <v>5052</v>
      </c>
      <c r="E530" t="s">
        <v>5053</v>
      </c>
      <c r="F530" t="s">
        <v>3547</v>
      </c>
      <c r="G530" t="s">
        <v>5054</v>
      </c>
    </row>
    <row r="531" spans="1:7" ht="11.25" customHeight="1">
      <c r="A531" t="s">
        <v>16</v>
      </c>
      <c r="B531" t="s">
        <v>5048</v>
      </c>
      <c r="C531" t="s">
        <v>5049</v>
      </c>
      <c r="D531" t="s">
        <v>5055</v>
      </c>
      <c r="E531" t="s">
        <v>5056</v>
      </c>
      <c r="F531" t="s">
        <v>3547</v>
      </c>
      <c r="G531" t="s">
        <v>5057</v>
      </c>
    </row>
    <row r="532" spans="1:7" ht="11.25" customHeight="1">
      <c r="A532" t="s">
        <v>16</v>
      </c>
      <c r="B532" t="s">
        <v>5048</v>
      </c>
      <c r="C532" t="s">
        <v>5049</v>
      </c>
      <c r="D532" t="s">
        <v>5058</v>
      </c>
      <c r="E532" t="s">
        <v>5059</v>
      </c>
      <c r="F532" t="s">
        <v>3547</v>
      </c>
      <c r="G532" t="s">
        <v>5060</v>
      </c>
    </row>
    <row r="533" spans="1:7" ht="11.25" customHeight="1">
      <c r="A533" t="s">
        <v>16</v>
      </c>
      <c r="B533" t="s">
        <v>5048</v>
      </c>
      <c r="C533" t="s">
        <v>5049</v>
      </c>
      <c r="D533" t="s">
        <v>5061</v>
      </c>
      <c r="E533" t="s">
        <v>5062</v>
      </c>
      <c r="F533" t="s">
        <v>3552</v>
      </c>
      <c r="G533" t="s">
        <v>5063</v>
      </c>
    </row>
    <row r="534" spans="1:7" ht="11.25" customHeight="1">
      <c r="A534" t="s">
        <v>16</v>
      </c>
      <c r="B534" t="s">
        <v>5048</v>
      </c>
      <c r="C534" t="s">
        <v>5049</v>
      </c>
      <c r="D534" t="s">
        <v>5064</v>
      </c>
      <c r="E534" t="s">
        <v>5065</v>
      </c>
      <c r="F534" t="s">
        <v>3547</v>
      </c>
      <c r="G534" t="s">
        <v>5066</v>
      </c>
    </row>
    <row r="535" spans="1:7" ht="11.25" customHeight="1">
      <c r="A535" t="s">
        <v>16</v>
      </c>
      <c r="B535" t="s">
        <v>5048</v>
      </c>
      <c r="C535" t="s">
        <v>5049</v>
      </c>
      <c r="D535" t="s">
        <v>5067</v>
      </c>
      <c r="E535" t="s">
        <v>5068</v>
      </c>
      <c r="F535" t="s">
        <v>3547</v>
      </c>
      <c r="G535" t="s">
        <v>5069</v>
      </c>
    </row>
    <row r="536" spans="1:7" ht="11.25" customHeight="1">
      <c r="A536" t="s">
        <v>16</v>
      </c>
      <c r="B536" t="s">
        <v>5048</v>
      </c>
      <c r="C536" t="s">
        <v>5049</v>
      </c>
      <c r="D536" t="s">
        <v>5070</v>
      </c>
      <c r="E536" t="s">
        <v>5071</v>
      </c>
      <c r="F536" t="s">
        <v>3547</v>
      </c>
      <c r="G536" t="s">
        <v>5072</v>
      </c>
    </row>
    <row r="537" spans="1:7" ht="11.25" customHeight="1">
      <c r="A537" t="s">
        <v>16</v>
      </c>
      <c r="B537" t="s">
        <v>5048</v>
      </c>
      <c r="C537" t="s">
        <v>5049</v>
      </c>
      <c r="D537" t="s">
        <v>5073</v>
      </c>
      <c r="E537" t="s">
        <v>5074</v>
      </c>
      <c r="F537" t="s">
        <v>3547</v>
      </c>
      <c r="G537" t="s">
        <v>5075</v>
      </c>
    </row>
    <row r="538" spans="1:7" ht="11.25" customHeight="1">
      <c r="A538" t="s">
        <v>16</v>
      </c>
      <c r="B538" t="s">
        <v>5048</v>
      </c>
      <c r="C538" t="s">
        <v>5049</v>
      </c>
      <c r="D538" t="s">
        <v>5048</v>
      </c>
      <c r="E538" t="s">
        <v>5049</v>
      </c>
      <c r="F538" t="s">
        <v>3544</v>
      </c>
      <c r="G538" t="s">
        <v>5076</v>
      </c>
    </row>
    <row r="539" spans="1:7" ht="11.25" customHeight="1">
      <c r="A539" t="s">
        <v>16</v>
      </c>
      <c r="B539" t="s">
        <v>5048</v>
      </c>
      <c r="C539" t="s">
        <v>5049</v>
      </c>
      <c r="D539" t="s">
        <v>5077</v>
      </c>
      <c r="E539" t="s">
        <v>5078</v>
      </c>
      <c r="F539" t="s">
        <v>3547</v>
      </c>
      <c r="G539" t="s">
        <v>5079</v>
      </c>
    </row>
    <row r="540" spans="1:7" ht="11.25" customHeight="1">
      <c r="A540" t="s">
        <v>16</v>
      </c>
      <c r="B540" t="s">
        <v>5048</v>
      </c>
      <c r="C540" t="s">
        <v>5049</v>
      </c>
      <c r="D540" t="s">
        <v>5080</v>
      </c>
      <c r="E540" t="s">
        <v>5081</v>
      </c>
      <c r="F540" t="s">
        <v>3547</v>
      </c>
      <c r="G540" t="s">
        <v>5082</v>
      </c>
    </row>
    <row r="541" spans="1:7" ht="11.25" customHeight="1">
      <c r="A541" t="s">
        <v>16</v>
      </c>
      <c r="B541" t="s">
        <v>5048</v>
      </c>
      <c r="C541" t="s">
        <v>5049</v>
      </c>
      <c r="D541" t="s">
        <v>5083</v>
      </c>
      <c r="E541" t="s">
        <v>5084</v>
      </c>
      <c r="F541" t="s">
        <v>3547</v>
      </c>
      <c r="G541" t="s">
        <v>5085</v>
      </c>
    </row>
    <row r="542" spans="1:7" ht="11.25" customHeight="1">
      <c r="A542" t="s">
        <v>16</v>
      </c>
      <c r="B542" t="s">
        <v>5048</v>
      </c>
      <c r="C542" t="s">
        <v>5049</v>
      </c>
      <c r="D542" t="s">
        <v>5086</v>
      </c>
      <c r="E542" t="s">
        <v>5087</v>
      </c>
      <c r="F542" t="s">
        <v>3547</v>
      </c>
      <c r="G542" t="s">
        <v>5088</v>
      </c>
    </row>
    <row r="543" spans="1:7" ht="11.25" customHeight="1">
      <c r="A543" t="s">
        <v>16</v>
      </c>
      <c r="B543" t="s">
        <v>5048</v>
      </c>
      <c r="C543" t="s">
        <v>5049</v>
      </c>
      <c r="D543" t="s">
        <v>5089</v>
      </c>
      <c r="E543" t="s">
        <v>5090</v>
      </c>
      <c r="F543" t="s">
        <v>3547</v>
      </c>
      <c r="G543" t="s">
        <v>5091</v>
      </c>
    </row>
    <row r="544" spans="1:7" ht="11.25" customHeight="1">
      <c r="A544" t="s">
        <v>16</v>
      </c>
      <c r="B544" t="s">
        <v>5048</v>
      </c>
      <c r="C544" t="s">
        <v>5049</v>
      </c>
      <c r="D544" t="s">
        <v>5092</v>
      </c>
      <c r="E544" t="s">
        <v>5093</v>
      </c>
      <c r="F544" t="s">
        <v>3547</v>
      </c>
      <c r="G544" t="s">
        <v>5094</v>
      </c>
    </row>
    <row r="545" spans="1:7" ht="11.25" customHeight="1">
      <c r="A545" t="s">
        <v>16</v>
      </c>
      <c r="B545" t="s">
        <v>5048</v>
      </c>
      <c r="C545" t="s">
        <v>5049</v>
      </c>
      <c r="D545" t="s">
        <v>5095</v>
      </c>
      <c r="E545" t="s">
        <v>5096</v>
      </c>
      <c r="F545" t="s">
        <v>3547</v>
      </c>
      <c r="G545" t="s">
        <v>5097</v>
      </c>
    </row>
    <row r="546" spans="1:7" ht="11.25" customHeight="1">
      <c r="A546" t="s">
        <v>16</v>
      </c>
      <c r="B546" t="s">
        <v>5048</v>
      </c>
      <c r="C546" t="s">
        <v>5049</v>
      </c>
      <c r="D546" t="s">
        <v>5098</v>
      </c>
      <c r="E546" t="s">
        <v>5099</v>
      </c>
      <c r="F546" t="s">
        <v>3547</v>
      </c>
      <c r="G546" t="s">
        <v>5100</v>
      </c>
    </row>
    <row r="547" spans="1:7" ht="11.25" customHeight="1">
      <c r="A547" t="s">
        <v>16</v>
      </c>
      <c r="B547" t="s">
        <v>5048</v>
      </c>
      <c r="C547" t="s">
        <v>5049</v>
      </c>
      <c r="D547" t="s">
        <v>5101</v>
      </c>
      <c r="E547" t="s">
        <v>5102</v>
      </c>
      <c r="F547" t="s">
        <v>3547</v>
      </c>
      <c r="G547" t="s">
        <v>5103</v>
      </c>
    </row>
    <row r="548" spans="1:7" ht="11.25" customHeight="1">
      <c r="A548" t="s">
        <v>16</v>
      </c>
      <c r="B548" t="s">
        <v>5048</v>
      </c>
      <c r="C548" t="s">
        <v>5049</v>
      </c>
      <c r="D548" t="s">
        <v>5104</v>
      </c>
      <c r="E548" t="s">
        <v>5105</v>
      </c>
      <c r="F548" t="s">
        <v>3547</v>
      </c>
      <c r="G548" t="s">
        <v>5106</v>
      </c>
    </row>
    <row r="549" spans="1:7" ht="11.25" customHeight="1">
      <c r="A549" t="s">
        <v>16</v>
      </c>
      <c r="B549" t="s">
        <v>5048</v>
      </c>
      <c r="C549" t="s">
        <v>5049</v>
      </c>
      <c r="D549" t="s">
        <v>5107</v>
      </c>
      <c r="E549" t="s">
        <v>5108</v>
      </c>
      <c r="F549" t="s">
        <v>3547</v>
      </c>
      <c r="G549" t="s">
        <v>5109</v>
      </c>
    </row>
    <row r="550" spans="1:7" ht="11.25" customHeight="1">
      <c r="A550" t="s">
        <v>16</v>
      </c>
      <c r="B550" t="s">
        <v>5048</v>
      </c>
      <c r="C550" t="s">
        <v>5049</v>
      </c>
      <c r="D550" t="s">
        <v>5110</v>
      </c>
      <c r="E550" t="s">
        <v>5111</v>
      </c>
      <c r="F550" t="s">
        <v>3547</v>
      </c>
      <c r="G550" t="s">
        <v>5112</v>
      </c>
    </row>
    <row r="551" spans="1:7" ht="11.25" customHeight="1">
      <c r="A551" t="s">
        <v>16</v>
      </c>
      <c r="B551" t="s">
        <v>5048</v>
      </c>
      <c r="C551" t="s">
        <v>5049</v>
      </c>
      <c r="D551" t="s">
        <v>5113</v>
      </c>
      <c r="E551" t="s">
        <v>5114</v>
      </c>
      <c r="F551" t="s">
        <v>3547</v>
      </c>
      <c r="G551" t="s">
        <v>5115</v>
      </c>
    </row>
    <row r="552" spans="1:7" ht="11.25" customHeight="1">
      <c r="A552" t="s">
        <v>16</v>
      </c>
      <c r="B552" t="s">
        <v>5048</v>
      </c>
      <c r="C552" t="s">
        <v>5049</v>
      </c>
      <c r="D552" t="s">
        <v>5116</v>
      </c>
      <c r="E552" t="s">
        <v>5117</v>
      </c>
      <c r="F552" t="s">
        <v>3547</v>
      </c>
      <c r="G552" t="s">
        <v>5118</v>
      </c>
    </row>
    <row r="553" spans="1:7" ht="11.25" customHeight="1">
      <c r="A553" t="s">
        <v>16</v>
      </c>
      <c r="B553" t="s">
        <v>5048</v>
      </c>
      <c r="C553" t="s">
        <v>5049</v>
      </c>
      <c r="D553" t="s">
        <v>5119</v>
      </c>
      <c r="E553" t="s">
        <v>5120</v>
      </c>
      <c r="F553" t="s">
        <v>3547</v>
      </c>
      <c r="G553" t="s">
        <v>5121</v>
      </c>
    </row>
    <row r="554" spans="1:7" ht="11.25" customHeight="1">
      <c r="A554" t="s">
        <v>16</v>
      </c>
      <c r="B554" t="s">
        <v>5122</v>
      </c>
      <c r="C554" t="s">
        <v>5123</v>
      </c>
      <c r="D554" t="s">
        <v>5124</v>
      </c>
      <c r="E554" t="s">
        <v>5125</v>
      </c>
      <c r="F554" t="s">
        <v>3547</v>
      </c>
      <c r="G554" t="s">
        <v>5126</v>
      </c>
    </row>
    <row r="555" spans="1:7" ht="11.25" customHeight="1">
      <c r="A555" t="s">
        <v>16</v>
      </c>
      <c r="B555" t="s">
        <v>5122</v>
      </c>
      <c r="C555" t="s">
        <v>5123</v>
      </c>
      <c r="D555" t="s">
        <v>5127</v>
      </c>
      <c r="E555" t="s">
        <v>5128</v>
      </c>
      <c r="F555" t="s">
        <v>3552</v>
      </c>
      <c r="G555" t="s">
        <v>5129</v>
      </c>
    </row>
    <row r="556" spans="1:7" ht="11.25" customHeight="1">
      <c r="A556" t="s">
        <v>16</v>
      </c>
      <c r="B556" t="s">
        <v>5122</v>
      </c>
      <c r="C556" t="s">
        <v>5123</v>
      </c>
      <c r="D556" t="s">
        <v>5130</v>
      </c>
      <c r="E556" t="s">
        <v>5131</v>
      </c>
      <c r="F556" t="s">
        <v>3547</v>
      </c>
      <c r="G556" t="s">
        <v>5132</v>
      </c>
    </row>
    <row r="557" spans="1:7" ht="11.25" customHeight="1">
      <c r="A557" t="s">
        <v>16</v>
      </c>
      <c r="B557" t="s">
        <v>5122</v>
      </c>
      <c r="C557" t="s">
        <v>5123</v>
      </c>
      <c r="D557" t="s">
        <v>4313</v>
      </c>
      <c r="E557" t="s">
        <v>5133</v>
      </c>
      <c r="F557" t="s">
        <v>3547</v>
      </c>
      <c r="G557" t="s">
        <v>5134</v>
      </c>
    </row>
    <row r="558" spans="1:7" ht="11.25" customHeight="1">
      <c r="A558" t="s">
        <v>16</v>
      </c>
      <c r="B558" t="s">
        <v>5122</v>
      </c>
      <c r="C558" t="s">
        <v>5123</v>
      </c>
      <c r="D558" t="s">
        <v>5135</v>
      </c>
      <c r="E558" t="s">
        <v>5136</v>
      </c>
      <c r="F558" t="s">
        <v>3547</v>
      </c>
      <c r="G558" t="s">
        <v>5137</v>
      </c>
    </row>
    <row r="559" spans="1:7" ht="11.25" customHeight="1">
      <c r="A559" t="s">
        <v>16</v>
      </c>
      <c r="B559" t="s">
        <v>5122</v>
      </c>
      <c r="C559" t="s">
        <v>5123</v>
      </c>
      <c r="D559" t="s">
        <v>5138</v>
      </c>
      <c r="E559" t="s">
        <v>5139</v>
      </c>
      <c r="F559" t="s">
        <v>3547</v>
      </c>
      <c r="G559" t="s">
        <v>5140</v>
      </c>
    </row>
    <row r="560" spans="1:7" ht="11.25" customHeight="1">
      <c r="A560" t="s">
        <v>16</v>
      </c>
      <c r="B560" t="s">
        <v>5122</v>
      </c>
      <c r="C560" t="s">
        <v>5123</v>
      </c>
      <c r="D560" t="s">
        <v>5141</v>
      </c>
      <c r="E560" t="s">
        <v>5142</v>
      </c>
      <c r="F560" t="s">
        <v>3547</v>
      </c>
      <c r="G560" t="s">
        <v>5143</v>
      </c>
    </row>
    <row r="561" spans="1:7" ht="11.25" customHeight="1">
      <c r="A561" t="s">
        <v>16</v>
      </c>
      <c r="B561" t="s">
        <v>5122</v>
      </c>
      <c r="C561" t="s">
        <v>5123</v>
      </c>
      <c r="D561" t="s">
        <v>5144</v>
      </c>
      <c r="E561" t="s">
        <v>5145</v>
      </c>
      <c r="F561" t="s">
        <v>3547</v>
      </c>
      <c r="G561" t="s">
        <v>5146</v>
      </c>
    </row>
    <row r="562" spans="1:7" ht="11.25" customHeight="1">
      <c r="A562" t="s">
        <v>16</v>
      </c>
      <c r="B562" t="s">
        <v>5122</v>
      </c>
      <c r="C562" t="s">
        <v>5123</v>
      </c>
      <c r="D562" t="s">
        <v>5147</v>
      </c>
      <c r="E562" t="s">
        <v>5148</v>
      </c>
      <c r="F562" t="s">
        <v>3547</v>
      </c>
      <c r="G562" t="s">
        <v>5149</v>
      </c>
    </row>
    <row r="563" spans="1:7" ht="11.25" customHeight="1">
      <c r="A563" t="s">
        <v>16</v>
      </c>
      <c r="B563" t="s">
        <v>5122</v>
      </c>
      <c r="C563" t="s">
        <v>5123</v>
      </c>
      <c r="D563" t="s">
        <v>5122</v>
      </c>
      <c r="E563" t="s">
        <v>5123</v>
      </c>
      <c r="F563" t="s">
        <v>3544</v>
      </c>
      <c r="G563" t="s">
        <v>5150</v>
      </c>
    </row>
    <row r="564" spans="1:7" ht="11.25" customHeight="1">
      <c r="A564" t="s">
        <v>16</v>
      </c>
      <c r="B564" t="s">
        <v>5122</v>
      </c>
      <c r="C564" t="s">
        <v>5123</v>
      </c>
      <c r="D564" t="s">
        <v>5151</v>
      </c>
      <c r="E564" t="s">
        <v>5152</v>
      </c>
      <c r="F564" t="s">
        <v>3547</v>
      </c>
      <c r="G564" t="s">
        <v>5153</v>
      </c>
    </row>
    <row r="565" spans="1:7" ht="11.25" customHeight="1">
      <c r="A565" t="s">
        <v>16</v>
      </c>
      <c r="B565" t="s">
        <v>5122</v>
      </c>
      <c r="C565" t="s">
        <v>5123</v>
      </c>
      <c r="D565" t="s">
        <v>5154</v>
      </c>
      <c r="E565" t="s">
        <v>5155</v>
      </c>
      <c r="F565" t="s">
        <v>3547</v>
      </c>
      <c r="G565" t="s">
        <v>5156</v>
      </c>
    </row>
    <row r="566" spans="1:7" ht="11.25" customHeight="1">
      <c r="A566" t="s">
        <v>16</v>
      </c>
      <c r="B566" t="s">
        <v>5122</v>
      </c>
      <c r="C566" t="s">
        <v>5123</v>
      </c>
      <c r="D566" t="s">
        <v>5157</v>
      </c>
      <c r="E566" t="s">
        <v>5158</v>
      </c>
      <c r="F566" t="s">
        <v>3547</v>
      </c>
      <c r="G566" t="s">
        <v>5159</v>
      </c>
    </row>
    <row r="567" spans="1:7" ht="11.25" customHeight="1">
      <c r="A567" t="s">
        <v>16</v>
      </c>
      <c r="B567" t="s">
        <v>5122</v>
      </c>
      <c r="C567" t="s">
        <v>5123</v>
      </c>
      <c r="D567" t="s">
        <v>5160</v>
      </c>
      <c r="E567" t="s">
        <v>5161</v>
      </c>
      <c r="F567" t="s">
        <v>3547</v>
      </c>
      <c r="G567" t="s">
        <v>5162</v>
      </c>
    </row>
    <row r="568" spans="1:7" ht="11.25" customHeight="1">
      <c r="A568" t="s">
        <v>16</v>
      </c>
      <c r="B568" t="s">
        <v>5122</v>
      </c>
      <c r="C568" t="s">
        <v>5123</v>
      </c>
      <c r="D568" t="s">
        <v>5163</v>
      </c>
      <c r="E568" t="s">
        <v>5164</v>
      </c>
      <c r="F568" t="s">
        <v>3547</v>
      </c>
      <c r="G568" t="s">
        <v>5165</v>
      </c>
    </row>
    <row r="569" spans="1:7" ht="11.25" customHeight="1">
      <c r="A569" t="s">
        <v>16</v>
      </c>
      <c r="B569" t="s">
        <v>5122</v>
      </c>
      <c r="C569" t="s">
        <v>5123</v>
      </c>
      <c r="D569" t="s">
        <v>5166</v>
      </c>
      <c r="E569" t="s">
        <v>5167</v>
      </c>
      <c r="F569" t="s">
        <v>3547</v>
      </c>
      <c r="G569" t="s">
        <v>5168</v>
      </c>
    </row>
    <row r="570" spans="1:7" ht="11.25" customHeight="1">
      <c r="A570" t="s">
        <v>16</v>
      </c>
      <c r="B570" t="s">
        <v>5122</v>
      </c>
      <c r="C570" t="s">
        <v>5123</v>
      </c>
      <c r="D570" t="s">
        <v>5169</v>
      </c>
      <c r="E570" t="s">
        <v>5170</v>
      </c>
      <c r="F570" t="s">
        <v>3547</v>
      </c>
      <c r="G570" t="s">
        <v>5171</v>
      </c>
    </row>
    <row r="571" spans="1:7" ht="11.25" customHeight="1">
      <c r="A571" t="s">
        <v>16</v>
      </c>
      <c r="B571" t="s">
        <v>5122</v>
      </c>
      <c r="C571" t="s">
        <v>5123</v>
      </c>
      <c r="D571" t="s">
        <v>5172</v>
      </c>
      <c r="E571" t="s">
        <v>5173</v>
      </c>
      <c r="F571" t="s">
        <v>3547</v>
      </c>
      <c r="G571" t="s">
        <v>5174</v>
      </c>
    </row>
    <row r="572" spans="1:7" ht="11.25" customHeight="1">
      <c r="A572" t="s">
        <v>16</v>
      </c>
      <c r="B572" t="s">
        <v>5122</v>
      </c>
      <c r="C572" t="s">
        <v>5123</v>
      </c>
      <c r="D572" t="s">
        <v>5175</v>
      </c>
      <c r="E572" t="s">
        <v>5176</v>
      </c>
      <c r="F572" t="s">
        <v>3547</v>
      </c>
      <c r="G572" t="s">
        <v>5177</v>
      </c>
    </row>
    <row r="573" spans="1:7" ht="11.25" customHeight="1">
      <c r="A573" t="s">
        <v>16</v>
      </c>
      <c r="B573" t="s">
        <v>5122</v>
      </c>
      <c r="C573" t="s">
        <v>5123</v>
      </c>
      <c r="D573" t="s">
        <v>5178</v>
      </c>
      <c r="E573" t="s">
        <v>5179</v>
      </c>
      <c r="F573" t="s">
        <v>3547</v>
      </c>
      <c r="G573" t="s">
        <v>5180</v>
      </c>
    </row>
    <row r="574" spans="1:7" ht="11.25" customHeight="1">
      <c r="A574" t="s">
        <v>16</v>
      </c>
      <c r="B574" t="s">
        <v>5122</v>
      </c>
      <c r="C574" t="s">
        <v>5123</v>
      </c>
      <c r="D574" t="s">
        <v>5181</v>
      </c>
      <c r="E574" t="s">
        <v>5182</v>
      </c>
      <c r="F574" t="s">
        <v>3547</v>
      </c>
      <c r="G574" t="s">
        <v>5183</v>
      </c>
    </row>
    <row r="575" spans="1:7" ht="11.25" customHeight="1">
      <c r="A575" t="s">
        <v>16</v>
      </c>
      <c r="B575" t="s">
        <v>5122</v>
      </c>
      <c r="C575" t="s">
        <v>5123</v>
      </c>
      <c r="D575" t="s">
        <v>5184</v>
      </c>
      <c r="E575" t="s">
        <v>5185</v>
      </c>
      <c r="F575" t="s">
        <v>3547</v>
      </c>
      <c r="G575" t="s">
        <v>5186</v>
      </c>
    </row>
    <row r="576" spans="1:7" ht="11.25" customHeight="1">
      <c r="A576" t="s">
        <v>16</v>
      </c>
      <c r="B576" t="s">
        <v>5122</v>
      </c>
      <c r="C576" t="s">
        <v>5123</v>
      </c>
      <c r="D576" t="s">
        <v>5187</v>
      </c>
      <c r="E576" t="s">
        <v>5188</v>
      </c>
      <c r="F576" t="s">
        <v>3547</v>
      </c>
      <c r="G576" t="s">
        <v>5189</v>
      </c>
    </row>
    <row r="577" spans="1:7" ht="11.25" customHeight="1">
      <c r="A577" t="s">
        <v>16</v>
      </c>
      <c r="B577" t="s">
        <v>5122</v>
      </c>
      <c r="C577" t="s">
        <v>5123</v>
      </c>
      <c r="D577" t="s">
        <v>5190</v>
      </c>
      <c r="E577" t="s">
        <v>5191</v>
      </c>
      <c r="F577" t="s">
        <v>3547</v>
      </c>
      <c r="G577" t="s">
        <v>5192</v>
      </c>
    </row>
    <row r="578" spans="1:7" ht="11.25" customHeight="1">
      <c r="A578" t="s">
        <v>16</v>
      </c>
      <c r="B578" t="s">
        <v>5122</v>
      </c>
      <c r="C578" t="s">
        <v>5123</v>
      </c>
      <c r="D578" t="s">
        <v>5193</v>
      </c>
      <c r="E578" t="s">
        <v>5194</v>
      </c>
      <c r="F578" t="s">
        <v>3547</v>
      </c>
      <c r="G578" t="s">
        <v>5195</v>
      </c>
    </row>
    <row r="579" spans="1:7" ht="11.25" customHeight="1">
      <c r="A579" t="s">
        <v>16</v>
      </c>
      <c r="B579" t="s">
        <v>5122</v>
      </c>
      <c r="C579" t="s">
        <v>5123</v>
      </c>
      <c r="D579" t="s">
        <v>5196</v>
      </c>
      <c r="E579" t="s">
        <v>5197</v>
      </c>
      <c r="F579" t="s">
        <v>3547</v>
      </c>
      <c r="G579" t="s">
        <v>5198</v>
      </c>
    </row>
    <row r="580" spans="1:7" ht="11.25" customHeight="1">
      <c r="A580" t="s">
        <v>16</v>
      </c>
      <c r="B580" t="s">
        <v>5199</v>
      </c>
      <c r="C580" t="s">
        <v>5200</v>
      </c>
      <c r="D580" t="s">
        <v>5201</v>
      </c>
      <c r="E580" t="s">
        <v>5202</v>
      </c>
      <c r="F580" t="s">
        <v>3547</v>
      </c>
      <c r="G580" t="s">
        <v>5203</v>
      </c>
    </row>
    <row r="581" spans="1:7" ht="11.25" customHeight="1">
      <c r="A581" t="s">
        <v>16</v>
      </c>
      <c r="B581" t="s">
        <v>5199</v>
      </c>
      <c r="C581" t="s">
        <v>5200</v>
      </c>
      <c r="D581" t="s">
        <v>5204</v>
      </c>
      <c r="E581" t="s">
        <v>5205</v>
      </c>
      <c r="F581" t="s">
        <v>3547</v>
      </c>
      <c r="G581" t="s">
        <v>5206</v>
      </c>
    </row>
    <row r="582" spans="1:7" ht="11.25" customHeight="1">
      <c r="A582" t="s">
        <v>16</v>
      </c>
      <c r="B582" t="s">
        <v>5199</v>
      </c>
      <c r="C582" t="s">
        <v>5200</v>
      </c>
      <c r="D582" t="s">
        <v>5207</v>
      </c>
      <c r="E582" t="s">
        <v>5208</v>
      </c>
      <c r="F582" t="s">
        <v>3552</v>
      </c>
      <c r="G582" t="s">
        <v>5209</v>
      </c>
    </row>
    <row r="583" spans="1:7" ht="11.25" customHeight="1">
      <c r="A583" t="s">
        <v>16</v>
      </c>
      <c r="B583" t="s">
        <v>5199</v>
      </c>
      <c r="C583" t="s">
        <v>5200</v>
      </c>
      <c r="D583" t="s">
        <v>5210</v>
      </c>
      <c r="E583" t="s">
        <v>5211</v>
      </c>
      <c r="F583" t="s">
        <v>3547</v>
      </c>
      <c r="G583" t="s">
        <v>5212</v>
      </c>
    </row>
    <row r="584" spans="1:7" ht="11.25" customHeight="1">
      <c r="A584" t="s">
        <v>16</v>
      </c>
      <c r="B584" t="s">
        <v>5199</v>
      </c>
      <c r="C584" t="s">
        <v>5200</v>
      </c>
      <c r="D584" t="s">
        <v>5213</v>
      </c>
      <c r="E584" t="s">
        <v>5214</v>
      </c>
      <c r="F584" t="s">
        <v>3547</v>
      </c>
      <c r="G584" t="s">
        <v>5215</v>
      </c>
    </row>
    <row r="585" spans="1:7" ht="11.25" customHeight="1">
      <c r="A585" t="s">
        <v>16</v>
      </c>
      <c r="B585" t="s">
        <v>5199</v>
      </c>
      <c r="C585" t="s">
        <v>5200</v>
      </c>
      <c r="D585" t="s">
        <v>5216</v>
      </c>
      <c r="E585" t="s">
        <v>5217</v>
      </c>
      <c r="F585" t="s">
        <v>3547</v>
      </c>
      <c r="G585" t="s">
        <v>5218</v>
      </c>
    </row>
    <row r="586" spans="1:7" ht="11.25" customHeight="1">
      <c r="A586" t="s">
        <v>16</v>
      </c>
      <c r="B586" t="s">
        <v>5199</v>
      </c>
      <c r="C586" t="s">
        <v>5200</v>
      </c>
      <c r="D586" t="s">
        <v>5219</v>
      </c>
      <c r="E586" t="s">
        <v>5220</v>
      </c>
      <c r="F586" t="s">
        <v>3547</v>
      </c>
      <c r="G586" t="s">
        <v>5221</v>
      </c>
    </row>
    <row r="587" spans="1:7" ht="11.25" customHeight="1">
      <c r="A587" t="s">
        <v>16</v>
      </c>
      <c r="B587" t="s">
        <v>5199</v>
      </c>
      <c r="C587" t="s">
        <v>5200</v>
      </c>
      <c r="D587" t="s">
        <v>5222</v>
      </c>
      <c r="E587" t="s">
        <v>5223</v>
      </c>
      <c r="F587" t="s">
        <v>3547</v>
      </c>
      <c r="G587" t="s">
        <v>5224</v>
      </c>
    </row>
    <row r="588" spans="1:7" ht="11.25" customHeight="1">
      <c r="A588" t="s">
        <v>16</v>
      </c>
      <c r="B588" t="s">
        <v>5199</v>
      </c>
      <c r="C588" t="s">
        <v>5200</v>
      </c>
      <c r="D588" t="s">
        <v>5225</v>
      </c>
      <c r="E588" t="s">
        <v>5226</v>
      </c>
      <c r="F588" t="s">
        <v>3547</v>
      </c>
      <c r="G588" t="s">
        <v>5227</v>
      </c>
    </row>
    <row r="589" spans="1:7" ht="11.25" customHeight="1">
      <c r="A589" t="s">
        <v>16</v>
      </c>
      <c r="B589" t="s">
        <v>5199</v>
      </c>
      <c r="C589" t="s">
        <v>5200</v>
      </c>
      <c r="D589" t="s">
        <v>5228</v>
      </c>
      <c r="E589" t="s">
        <v>5229</v>
      </c>
      <c r="F589" t="s">
        <v>3547</v>
      </c>
      <c r="G589" t="s">
        <v>5230</v>
      </c>
    </row>
    <row r="590" spans="1:7" ht="11.25" customHeight="1">
      <c r="A590" t="s">
        <v>16</v>
      </c>
      <c r="B590" t="s">
        <v>5199</v>
      </c>
      <c r="C590" t="s">
        <v>5200</v>
      </c>
      <c r="D590" t="s">
        <v>5231</v>
      </c>
      <c r="E590" t="s">
        <v>5232</v>
      </c>
      <c r="F590" t="s">
        <v>3547</v>
      </c>
      <c r="G590" t="s">
        <v>5233</v>
      </c>
    </row>
    <row r="591" spans="1:7" ht="11.25" customHeight="1">
      <c r="A591" t="s">
        <v>16</v>
      </c>
      <c r="B591" t="s">
        <v>5199</v>
      </c>
      <c r="C591" t="s">
        <v>5200</v>
      </c>
      <c r="D591" t="s">
        <v>5199</v>
      </c>
      <c r="E591" t="s">
        <v>5200</v>
      </c>
      <c r="F591" t="s">
        <v>3544</v>
      </c>
      <c r="G591" t="s">
        <v>5234</v>
      </c>
    </row>
    <row r="592" spans="1:7" ht="11.25" customHeight="1">
      <c r="A592" t="s">
        <v>16</v>
      </c>
      <c r="B592" t="s">
        <v>5199</v>
      </c>
      <c r="C592" t="s">
        <v>5200</v>
      </c>
      <c r="D592" t="s">
        <v>5235</v>
      </c>
      <c r="E592" t="s">
        <v>5236</v>
      </c>
      <c r="F592" t="s">
        <v>3547</v>
      </c>
      <c r="G592" t="s">
        <v>5237</v>
      </c>
    </row>
    <row r="593" spans="1:7" ht="11.25" customHeight="1">
      <c r="A593" t="s">
        <v>16</v>
      </c>
      <c r="B593" t="s">
        <v>5199</v>
      </c>
      <c r="C593" t="s">
        <v>5200</v>
      </c>
      <c r="D593" t="s">
        <v>5238</v>
      </c>
      <c r="E593" t="s">
        <v>5239</v>
      </c>
      <c r="F593" t="s">
        <v>3547</v>
      </c>
      <c r="G593" t="s">
        <v>5240</v>
      </c>
    </row>
    <row r="594" spans="1:7" ht="11.25" customHeight="1">
      <c r="A594" t="s">
        <v>16</v>
      </c>
      <c r="B594" t="s">
        <v>5199</v>
      </c>
      <c r="C594" t="s">
        <v>5200</v>
      </c>
      <c r="D594" t="s">
        <v>5241</v>
      </c>
      <c r="E594" t="s">
        <v>5242</v>
      </c>
      <c r="F594" t="s">
        <v>3547</v>
      </c>
      <c r="G594" t="s">
        <v>5243</v>
      </c>
    </row>
    <row r="595" spans="1:7" ht="11.25" customHeight="1">
      <c r="A595" t="s">
        <v>16</v>
      </c>
      <c r="B595" t="s">
        <v>5199</v>
      </c>
      <c r="C595" t="s">
        <v>5200</v>
      </c>
      <c r="D595" t="s">
        <v>5244</v>
      </c>
      <c r="E595" t="s">
        <v>5245</v>
      </c>
      <c r="F595" t="s">
        <v>3547</v>
      </c>
      <c r="G595" t="s">
        <v>5246</v>
      </c>
    </row>
    <row r="596" spans="1:7" ht="11.25" customHeight="1">
      <c r="A596" t="s">
        <v>16</v>
      </c>
      <c r="B596" t="s">
        <v>5199</v>
      </c>
      <c r="C596" t="s">
        <v>5200</v>
      </c>
      <c r="D596" t="s">
        <v>5247</v>
      </c>
      <c r="E596" t="s">
        <v>5248</v>
      </c>
      <c r="F596" t="s">
        <v>3547</v>
      </c>
      <c r="G596" t="s">
        <v>5249</v>
      </c>
    </row>
    <row r="597" spans="1:7" ht="11.25" customHeight="1">
      <c r="A597" t="s">
        <v>16</v>
      </c>
      <c r="B597" t="s">
        <v>5199</v>
      </c>
      <c r="C597" t="s">
        <v>5200</v>
      </c>
      <c r="D597" t="s">
        <v>5009</v>
      </c>
      <c r="E597" t="s">
        <v>5250</v>
      </c>
      <c r="F597" t="s">
        <v>3547</v>
      </c>
      <c r="G597" t="s">
        <v>5251</v>
      </c>
    </row>
    <row r="598" spans="1:7" ht="11.25" customHeight="1">
      <c r="A598" t="s">
        <v>16</v>
      </c>
      <c r="B598" t="s">
        <v>5199</v>
      </c>
      <c r="C598" t="s">
        <v>5200</v>
      </c>
      <c r="D598" t="s">
        <v>5252</v>
      </c>
      <c r="E598" t="s">
        <v>5253</v>
      </c>
      <c r="F598" t="s">
        <v>3547</v>
      </c>
      <c r="G598" t="s">
        <v>5254</v>
      </c>
    </row>
    <row r="599" spans="1:7" ht="11.25" customHeight="1">
      <c r="A599" t="s">
        <v>16</v>
      </c>
      <c r="B599" t="s">
        <v>5199</v>
      </c>
      <c r="C599" t="s">
        <v>5200</v>
      </c>
      <c r="D599" t="s">
        <v>5255</v>
      </c>
      <c r="E599" t="s">
        <v>5256</v>
      </c>
      <c r="F599" t="s">
        <v>3547</v>
      </c>
      <c r="G599" t="s">
        <v>5257</v>
      </c>
    </row>
    <row r="600" spans="1:7" ht="11.25" customHeight="1">
      <c r="A600" t="s">
        <v>16</v>
      </c>
      <c r="B600" t="s">
        <v>5199</v>
      </c>
      <c r="C600" t="s">
        <v>5200</v>
      </c>
      <c r="D600" t="s">
        <v>5258</v>
      </c>
      <c r="E600" t="s">
        <v>5259</v>
      </c>
      <c r="F600" t="s">
        <v>3547</v>
      </c>
      <c r="G600" t="s">
        <v>5260</v>
      </c>
    </row>
    <row r="601" spans="1:7" ht="11.25" customHeight="1">
      <c r="A601" t="s">
        <v>16</v>
      </c>
      <c r="B601" t="s">
        <v>5199</v>
      </c>
      <c r="C601" t="s">
        <v>5200</v>
      </c>
      <c r="D601" t="s">
        <v>5261</v>
      </c>
      <c r="E601" t="s">
        <v>5262</v>
      </c>
      <c r="F601" t="s">
        <v>3547</v>
      </c>
      <c r="G601" t="s">
        <v>5263</v>
      </c>
    </row>
    <row r="602" spans="1:7" ht="11.25" customHeight="1">
      <c r="A602" t="s">
        <v>16</v>
      </c>
      <c r="B602" t="s">
        <v>5199</v>
      </c>
      <c r="C602" t="s">
        <v>5200</v>
      </c>
      <c r="D602" t="s">
        <v>5264</v>
      </c>
      <c r="E602" t="s">
        <v>5265</v>
      </c>
      <c r="F602" t="s">
        <v>3547</v>
      </c>
      <c r="G602" t="s">
        <v>5266</v>
      </c>
    </row>
    <row r="603" spans="1:7" ht="11.25" customHeight="1">
      <c r="A603" t="s">
        <v>16</v>
      </c>
      <c r="B603" t="s">
        <v>5199</v>
      </c>
      <c r="C603" t="s">
        <v>5200</v>
      </c>
      <c r="D603" t="s">
        <v>5267</v>
      </c>
      <c r="E603" t="s">
        <v>5268</v>
      </c>
      <c r="F603" t="s">
        <v>3547</v>
      </c>
      <c r="G603" t="s">
        <v>5269</v>
      </c>
    </row>
    <row r="604" spans="1:7" ht="11.25" customHeight="1">
      <c r="A604" t="s">
        <v>16</v>
      </c>
      <c r="B604" t="s">
        <v>5199</v>
      </c>
      <c r="C604" t="s">
        <v>5200</v>
      </c>
      <c r="D604" t="s">
        <v>5270</v>
      </c>
      <c r="E604" t="s">
        <v>5271</v>
      </c>
      <c r="F604" t="s">
        <v>3547</v>
      </c>
      <c r="G604" t="s">
        <v>5272</v>
      </c>
    </row>
    <row r="605" spans="1:7" ht="11.25" customHeight="1">
      <c r="A605" t="s">
        <v>16</v>
      </c>
      <c r="B605" t="s">
        <v>5199</v>
      </c>
      <c r="C605" t="s">
        <v>5200</v>
      </c>
      <c r="D605" t="s">
        <v>5273</v>
      </c>
      <c r="E605" t="s">
        <v>5274</v>
      </c>
      <c r="F605" t="s">
        <v>3547</v>
      </c>
      <c r="G605" t="s">
        <v>5275</v>
      </c>
    </row>
    <row r="606" spans="1:7" ht="11.25" customHeight="1">
      <c r="A606" t="s">
        <v>16</v>
      </c>
      <c r="B606" t="s">
        <v>5199</v>
      </c>
      <c r="C606" t="s">
        <v>5200</v>
      </c>
      <c r="D606" t="s">
        <v>5276</v>
      </c>
      <c r="E606" t="s">
        <v>5277</v>
      </c>
      <c r="F606" t="s">
        <v>3547</v>
      </c>
      <c r="G606" t="s">
        <v>5278</v>
      </c>
    </row>
    <row r="607" spans="1:7" ht="11.25" customHeight="1">
      <c r="A607" t="s">
        <v>16</v>
      </c>
      <c r="B607" t="s">
        <v>5199</v>
      </c>
      <c r="C607" t="s">
        <v>5200</v>
      </c>
      <c r="D607" t="s">
        <v>5279</v>
      </c>
      <c r="E607" t="s">
        <v>5280</v>
      </c>
      <c r="F607" t="s">
        <v>3547</v>
      </c>
      <c r="G607" t="s">
        <v>5281</v>
      </c>
    </row>
    <row r="608" spans="1:7" ht="11.25" customHeight="1">
      <c r="A608" t="s">
        <v>16</v>
      </c>
      <c r="B608" t="s">
        <v>5199</v>
      </c>
      <c r="C608" t="s">
        <v>5200</v>
      </c>
      <c r="D608" t="s">
        <v>5282</v>
      </c>
      <c r="E608" t="s">
        <v>5283</v>
      </c>
      <c r="F608" t="s">
        <v>3547</v>
      </c>
      <c r="G608" t="s">
        <v>5284</v>
      </c>
    </row>
    <row r="609" spans="1:7" ht="11.25" customHeight="1">
      <c r="A609" t="s">
        <v>16</v>
      </c>
      <c r="B609" t="s">
        <v>5199</v>
      </c>
      <c r="C609" t="s">
        <v>5200</v>
      </c>
      <c r="D609" t="s">
        <v>5285</v>
      </c>
      <c r="E609" t="s">
        <v>5286</v>
      </c>
      <c r="F609" t="s">
        <v>3547</v>
      </c>
      <c r="G609" t="s">
        <v>5287</v>
      </c>
    </row>
    <row r="610" spans="1:7" ht="11.25" customHeight="1">
      <c r="A610" t="s">
        <v>16</v>
      </c>
      <c r="B610" t="s">
        <v>5288</v>
      </c>
      <c r="C610" t="s">
        <v>5289</v>
      </c>
      <c r="D610" t="s">
        <v>5290</v>
      </c>
      <c r="E610" t="s">
        <v>5291</v>
      </c>
      <c r="F610" t="s">
        <v>3547</v>
      </c>
      <c r="G610" t="s">
        <v>5292</v>
      </c>
    </row>
    <row r="611" spans="1:7" ht="11.25" customHeight="1">
      <c r="A611" t="s">
        <v>16</v>
      </c>
      <c r="B611" t="s">
        <v>5288</v>
      </c>
      <c r="C611" t="s">
        <v>5289</v>
      </c>
      <c r="D611" t="s">
        <v>5293</v>
      </c>
      <c r="E611" t="s">
        <v>5294</v>
      </c>
      <c r="F611" t="s">
        <v>3547</v>
      </c>
      <c r="G611" t="s">
        <v>5295</v>
      </c>
    </row>
    <row r="612" spans="1:7" ht="11.25" customHeight="1">
      <c r="A612" t="s">
        <v>16</v>
      </c>
      <c r="B612" t="s">
        <v>5288</v>
      </c>
      <c r="C612" t="s">
        <v>5289</v>
      </c>
      <c r="D612" t="s">
        <v>5296</v>
      </c>
      <c r="E612" t="s">
        <v>5297</v>
      </c>
      <c r="F612" t="s">
        <v>3547</v>
      </c>
      <c r="G612" t="s">
        <v>5298</v>
      </c>
    </row>
    <row r="613" spans="1:7" ht="11.25" customHeight="1">
      <c r="A613" t="s">
        <v>16</v>
      </c>
      <c r="B613" t="s">
        <v>5288</v>
      </c>
      <c r="C613" t="s">
        <v>5289</v>
      </c>
      <c r="D613" t="s">
        <v>5299</v>
      </c>
      <c r="E613" t="s">
        <v>5300</v>
      </c>
      <c r="F613" t="s">
        <v>3552</v>
      </c>
      <c r="G613" t="s">
        <v>5301</v>
      </c>
    </row>
    <row r="614" spans="1:7" ht="11.25" customHeight="1">
      <c r="A614" t="s">
        <v>16</v>
      </c>
      <c r="B614" t="s">
        <v>5288</v>
      </c>
      <c r="C614" t="s">
        <v>5289</v>
      </c>
      <c r="D614" t="s">
        <v>5302</v>
      </c>
      <c r="E614" t="s">
        <v>5303</v>
      </c>
      <c r="F614" t="s">
        <v>3547</v>
      </c>
      <c r="G614" t="s">
        <v>5304</v>
      </c>
    </row>
    <row r="615" spans="1:7" ht="11.25" customHeight="1">
      <c r="A615" t="s">
        <v>16</v>
      </c>
      <c r="B615" t="s">
        <v>5288</v>
      </c>
      <c r="C615" t="s">
        <v>5289</v>
      </c>
      <c r="D615" t="s">
        <v>5305</v>
      </c>
      <c r="E615" t="s">
        <v>5306</v>
      </c>
      <c r="F615" t="s">
        <v>3547</v>
      </c>
      <c r="G615" t="s">
        <v>5307</v>
      </c>
    </row>
    <row r="616" spans="1:7" ht="11.25" customHeight="1">
      <c r="A616" t="s">
        <v>16</v>
      </c>
      <c r="B616" t="s">
        <v>5288</v>
      </c>
      <c r="C616" t="s">
        <v>5289</v>
      </c>
      <c r="D616" t="s">
        <v>5308</v>
      </c>
      <c r="E616" t="s">
        <v>5309</v>
      </c>
      <c r="F616" t="s">
        <v>3547</v>
      </c>
      <c r="G616" t="s">
        <v>5310</v>
      </c>
    </row>
    <row r="617" spans="1:7" ht="11.25" customHeight="1">
      <c r="A617" t="s">
        <v>16</v>
      </c>
      <c r="B617" t="s">
        <v>5288</v>
      </c>
      <c r="C617" t="s">
        <v>5289</v>
      </c>
      <c r="D617" t="s">
        <v>5288</v>
      </c>
      <c r="E617" t="s">
        <v>5289</v>
      </c>
      <c r="F617" t="s">
        <v>3544</v>
      </c>
      <c r="G617" t="s">
        <v>5311</v>
      </c>
    </row>
    <row r="618" spans="1:7" ht="11.25" customHeight="1">
      <c r="A618" t="s">
        <v>16</v>
      </c>
      <c r="B618" t="s">
        <v>5288</v>
      </c>
      <c r="C618" t="s">
        <v>5289</v>
      </c>
      <c r="D618" t="s">
        <v>5312</v>
      </c>
      <c r="E618" t="s">
        <v>5313</v>
      </c>
      <c r="F618" t="s">
        <v>3547</v>
      </c>
      <c r="G618" t="s">
        <v>5314</v>
      </c>
    </row>
    <row r="619" spans="1:7" ht="11.25" customHeight="1">
      <c r="A619" t="s">
        <v>16</v>
      </c>
      <c r="B619" t="s">
        <v>5288</v>
      </c>
      <c r="C619" t="s">
        <v>5289</v>
      </c>
      <c r="D619" t="s">
        <v>5315</v>
      </c>
      <c r="E619" t="s">
        <v>5316</v>
      </c>
      <c r="F619" t="s">
        <v>3547</v>
      </c>
      <c r="G619" t="s">
        <v>5317</v>
      </c>
    </row>
    <row r="620" spans="1:7" ht="11.25" customHeight="1">
      <c r="A620" t="s">
        <v>16</v>
      </c>
      <c r="B620" t="s">
        <v>5288</v>
      </c>
      <c r="C620" t="s">
        <v>5289</v>
      </c>
      <c r="D620" t="s">
        <v>5318</v>
      </c>
      <c r="E620" t="s">
        <v>5319</v>
      </c>
      <c r="F620" t="s">
        <v>3547</v>
      </c>
      <c r="G620" t="s">
        <v>5320</v>
      </c>
    </row>
    <row r="621" spans="1:7" ht="11.25" customHeight="1">
      <c r="A621" t="s">
        <v>16</v>
      </c>
      <c r="B621" t="s">
        <v>5288</v>
      </c>
      <c r="C621" t="s">
        <v>5289</v>
      </c>
      <c r="D621" t="s">
        <v>5321</v>
      </c>
      <c r="E621" t="s">
        <v>5322</v>
      </c>
      <c r="F621" t="s">
        <v>3547</v>
      </c>
      <c r="G621" t="s">
        <v>5323</v>
      </c>
    </row>
    <row r="622" spans="1:7" ht="11.25" customHeight="1">
      <c r="A622" t="s">
        <v>16</v>
      </c>
      <c r="B622" t="s">
        <v>5288</v>
      </c>
      <c r="C622" t="s">
        <v>5289</v>
      </c>
      <c r="D622" t="s">
        <v>5324</v>
      </c>
      <c r="E622" t="s">
        <v>5325</v>
      </c>
      <c r="F622" t="s">
        <v>3547</v>
      </c>
      <c r="G622" t="s">
        <v>5326</v>
      </c>
    </row>
    <row r="623" spans="1:7" ht="11.25" customHeight="1">
      <c r="A623" t="s">
        <v>16</v>
      </c>
      <c r="B623" t="s">
        <v>5288</v>
      </c>
      <c r="C623" t="s">
        <v>5289</v>
      </c>
      <c r="D623" t="s">
        <v>5327</v>
      </c>
      <c r="E623" t="s">
        <v>5328</v>
      </c>
      <c r="F623" t="s">
        <v>3547</v>
      </c>
      <c r="G623" t="s">
        <v>5329</v>
      </c>
    </row>
    <row r="624" spans="1:7" ht="11.25" customHeight="1">
      <c r="A624" t="s">
        <v>16</v>
      </c>
      <c r="B624" t="s">
        <v>5288</v>
      </c>
      <c r="C624" t="s">
        <v>5289</v>
      </c>
      <c r="D624" t="s">
        <v>5330</v>
      </c>
      <c r="E624" t="s">
        <v>5331</v>
      </c>
      <c r="F624" t="s">
        <v>3547</v>
      </c>
      <c r="G624" t="s">
        <v>5332</v>
      </c>
    </row>
    <row r="625" spans="1:7" ht="11.25" customHeight="1">
      <c r="A625" t="s">
        <v>16</v>
      </c>
      <c r="B625" t="s">
        <v>5288</v>
      </c>
      <c r="C625" t="s">
        <v>5289</v>
      </c>
      <c r="D625" t="s">
        <v>5333</v>
      </c>
      <c r="E625" t="s">
        <v>5334</v>
      </c>
      <c r="F625" t="s">
        <v>3547</v>
      </c>
      <c r="G625" t="s">
        <v>5335</v>
      </c>
    </row>
    <row r="626" spans="1:7" ht="11.25" customHeight="1">
      <c r="A626" t="s">
        <v>16</v>
      </c>
      <c r="B626" t="s">
        <v>5336</v>
      </c>
      <c r="C626" t="s">
        <v>5337</v>
      </c>
      <c r="D626" t="s">
        <v>5338</v>
      </c>
      <c r="E626" t="s">
        <v>5339</v>
      </c>
      <c r="F626" t="s">
        <v>3547</v>
      </c>
      <c r="G626" t="s">
        <v>5340</v>
      </c>
    </row>
    <row r="627" spans="1:7" ht="11.25" customHeight="1">
      <c r="A627" t="s">
        <v>16</v>
      </c>
      <c r="B627" t="s">
        <v>5336</v>
      </c>
      <c r="C627" t="s">
        <v>5337</v>
      </c>
      <c r="D627" t="s">
        <v>5341</v>
      </c>
      <c r="E627" t="s">
        <v>5342</v>
      </c>
      <c r="F627" t="s">
        <v>3547</v>
      </c>
      <c r="G627" t="s">
        <v>5343</v>
      </c>
    </row>
    <row r="628" spans="1:7" ht="11.25" customHeight="1">
      <c r="A628" t="s">
        <v>16</v>
      </c>
      <c r="B628" t="s">
        <v>5336</v>
      </c>
      <c r="C628" t="s">
        <v>5337</v>
      </c>
      <c r="D628" t="s">
        <v>5344</v>
      </c>
      <c r="E628" t="s">
        <v>5345</v>
      </c>
      <c r="F628" t="s">
        <v>3547</v>
      </c>
      <c r="G628" t="s">
        <v>5346</v>
      </c>
    </row>
    <row r="629" spans="1:7" ht="11.25" customHeight="1">
      <c r="A629" t="s">
        <v>16</v>
      </c>
      <c r="B629" t="s">
        <v>5336</v>
      </c>
      <c r="C629" t="s">
        <v>5337</v>
      </c>
      <c r="D629" t="s">
        <v>5347</v>
      </c>
      <c r="E629" t="s">
        <v>5348</v>
      </c>
      <c r="F629" t="s">
        <v>3547</v>
      </c>
      <c r="G629" t="s">
        <v>5349</v>
      </c>
    </row>
    <row r="630" spans="1:7" ht="11.25" customHeight="1">
      <c r="A630" t="s">
        <v>16</v>
      </c>
      <c r="B630" t="s">
        <v>5336</v>
      </c>
      <c r="C630" t="s">
        <v>5337</v>
      </c>
      <c r="D630" t="s">
        <v>5350</v>
      </c>
      <c r="E630" t="s">
        <v>5351</v>
      </c>
      <c r="F630" t="s">
        <v>3552</v>
      </c>
      <c r="G630" t="s">
        <v>5352</v>
      </c>
    </row>
    <row r="631" spans="1:7" ht="11.25" customHeight="1">
      <c r="A631" t="s">
        <v>16</v>
      </c>
      <c r="B631" t="s">
        <v>5336</v>
      </c>
      <c r="C631" t="s">
        <v>5337</v>
      </c>
      <c r="D631" t="s">
        <v>5353</v>
      </c>
      <c r="E631" t="s">
        <v>5354</v>
      </c>
      <c r="F631" t="s">
        <v>3547</v>
      </c>
      <c r="G631" t="s">
        <v>5355</v>
      </c>
    </row>
    <row r="632" spans="1:7" ht="11.25" customHeight="1">
      <c r="A632" t="s">
        <v>16</v>
      </c>
      <c r="B632" t="s">
        <v>5336</v>
      </c>
      <c r="C632" t="s">
        <v>5337</v>
      </c>
      <c r="D632" t="s">
        <v>3559</v>
      </c>
      <c r="E632" t="s">
        <v>5356</v>
      </c>
      <c r="F632" t="s">
        <v>3547</v>
      </c>
      <c r="G632" t="s">
        <v>5357</v>
      </c>
    </row>
    <row r="633" spans="1:7" ht="11.25" customHeight="1">
      <c r="A633" t="s">
        <v>16</v>
      </c>
      <c r="B633" t="s">
        <v>5336</v>
      </c>
      <c r="C633" t="s">
        <v>5337</v>
      </c>
      <c r="D633" t="s">
        <v>5358</v>
      </c>
      <c r="E633" t="s">
        <v>5359</v>
      </c>
      <c r="F633" t="s">
        <v>3547</v>
      </c>
      <c r="G633" t="s">
        <v>5360</v>
      </c>
    </row>
    <row r="634" spans="1:7" ht="11.25" customHeight="1">
      <c r="A634" t="s">
        <v>16</v>
      </c>
      <c r="B634" t="s">
        <v>5336</v>
      </c>
      <c r="C634" t="s">
        <v>5337</v>
      </c>
      <c r="D634" t="s">
        <v>5361</v>
      </c>
      <c r="E634" t="s">
        <v>5362</v>
      </c>
      <c r="F634" t="s">
        <v>3547</v>
      </c>
      <c r="G634" t="s">
        <v>5363</v>
      </c>
    </row>
    <row r="635" spans="1:7" ht="11.25" customHeight="1">
      <c r="A635" t="s">
        <v>16</v>
      </c>
      <c r="B635" t="s">
        <v>5336</v>
      </c>
      <c r="C635" t="s">
        <v>5337</v>
      </c>
      <c r="D635" t="s">
        <v>5336</v>
      </c>
      <c r="E635" t="s">
        <v>5337</v>
      </c>
      <c r="F635" t="s">
        <v>3544</v>
      </c>
      <c r="G635" t="s">
        <v>5364</v>
      </c>
    </row>
    <row r="636" spans="1:7" ht="11.25" customHeight="1">
      <c r="A636" t="s">
        <v>16</v>
      </c>
      <c r="B636" t="s">
        <v>5336</v>
      </c>
      <c r="C636" t="s">
        <v>5337</v>
      </c>
      <c r="D636" t="s">
        <v>5365</v>
      </c>
      <c r="E636" t="s">
        <v>5366</v>
      </c>
      <c r="F636" t="s">
        <v>3547</v>
      </c>
      <c r="G636" t="s">
        <v>5367</v>
      </c>
    </row>
    <row r="637" spans="1:7" ht="11.25" customHeight="1">
      <c r="A637" t="s">
        <v>16</v>
      </c>
      <c r="B637" t="s">
        <v>5336</v>
      </c>
      <c r="C637" t="s">
        <v>5337</v>
      </c>
      <c r="D637" t="s">
        <v>5368</v>
      </c>
      <c r="E637" t="s">
        <v>5369</v>
      </c>
      <c r="F637" t="s">
        <v>3547</v>
      </c>
      <c r="G637" t="s">
        <v>5370</v>
      </c>
    </row>
    <row r="638" spans="1:7" ht="11.25" customHeight="1">
      <c r="A638" t="s">
        <v>16</v>
      </c>
      <c r="B638" t="s">
        <v>5336</v>
      </c>
      <c r="C638" t="s">
        <v>5337</v>
      </c>
      <c r="D638" t="s">
        <v>5371</v>
      </c>
      <c r="E638" t="s">
        <v>5372</v>
      </c>
      <c r="F638" t="s">
        <v>3547</v>
      </c>
      <c r="G638" t="s">
        <v>5373</v>
      </c>
    </row>
    <row r="639" spans="1:7" ht="11.25" customHeight="1">
      <c r="A639" t="s">
        <v>16</v>
      </c>
      <c r="B639" t="s">
        <v>5336</v>
      </c>
      <c r="C639" t="s">
        <v>5337</v>
      </c>
      <c r="D639" t="s">
        <v>5374</v>
      </c>
      <c r="E639" t="s">
        <v>5375</v>
      </c>
      <c r="F639" t="s">
        <v>3547</v>
      </c>
      <c r="G639" t="s">
        <v>5376</v>
      </c>
    </row>
    <row r="640" spans="1:7" ht="11.25" customHeight="1">
      <c r="A640" t="s">
        <v>16</v>
      </c>
      <c r="B640" t="s">
        <v>5336</v>
      </c>
      <c r="C640" t="s">
        <v>5337</v>
      </c>
      <c r="D640" t="s">
        <v>5377</v>
      </c>
      <c r="E640" t="s">
        <v>5378</v>
      </c>
      <c r="F640" t="s">
        <v>3547</v>
      </c>
      <c r="G640" t="s">
        <v>5379</v>
      </c>
    </row>
    <row r="641" spans="1:7" ht="11.25" customHeight="1">
      <c r="A641" t="s">
        <v>16</v>
      </c>
      <c r="B641" t="s">
        <v>5336</v>
      </c>
      <c r="C641" t="s">
        <v>5337</v>
      </c>
      <c r="D641" t="s">
        <v>5380</v>
      </c>
      <c r="E641" t="s">
        <v>5381</v>
      </c>
      <c r="F641" t="s">
        <v>3547</v>
      </c>
      <c r="G641" t="s">
        <v>5382</v>
      </c>
    </row>
    <row r="642" spans="1:7" ht="11.25" customHeight="1">
      <c r="A642" t="s">
        <v>16</v>
      </c>
      <c r="B642" t="s">
        <v>5336</v>
      </c>
      <c r="C642" t="s">
        <v>5337</v>
      </c>
      <c r="D642" t="s">
        <v>5383</v>
      </c>
      <c r="E642" t="s">
        <v>5384</v>
      </c>
      <c r="F642" t="s">
        <v>3547</v>
      </c>
      <c r="G642" t="s">
        <v>5385</v>
      </c>
    </row>
    <row r="643" spans="1:7" ht="11.25" customHeight="1">
      <c r="A643" t="s">
        <v>16</v>
      </c>
      <c r="B643" t="s">
        <v>5336</v>
      </c>
      <c r="C643" t="s">
        <v>5337</v>
      </c>
      <c r="D643" t="s">
        <v>5386</v>
      </c>
      <c r="E643" t="s">
        <v>5387</v>
      </c>
      <c r="F643" t="s">
        <v>3547</v>
      </c>
      <c r="G643" t="s">
        <v>5388</v>
      </c>
    </row>
    <row r="644" spans="1:7" ht="11.25" customHeight="1">
      <c r="A644" t="s">
        <v>16</v>
      </c>
      <c r="B644" t="s">
        <v>5336</v>
      </c>
      <c r="C644" t="s">
        <v>5337</v>
      </c>
      <c r="D644" t="s">
        <v>5389</v>
      </c>
      <c r="E644" t="s">
        <v>5390</v>
      </c>
      <c r="F644" t="s">
        <v>3547</v>
      </c>
      <c r="G644" t="s">
        <v>5391</v>
      </c>
    </row>
    <row r="645" spans="1:7" ht="11.25" customHeight="1">
      <c r="A645" t="s">
        <v>16</v>
      </c>
      <c r="B645" t="s">
        <v>5336</v>
      </c>
      <c r="C645" t="s">
        <v>5337</v>
      </c>
      <c r="D645" t="s">
        <v>5392</v>
      </c>
      <c r="E645" t="s">
        <v>5393</v>
      </c>
      <c r="F645" t="s">
        <v>3547</v>
      </c>
      <c r="G645" t="s">
        <v>5394</v>
      </c>
    </row>
    <row r="646" spans="1:7" ht="11.25" customHeight="1">
      <c r="A646" t="s">
        <v>16</v>
      </c>
      <c r="B646" t="s">
        <v>5336</v>
      </c>
      <c r="C646" t="s">
        <v>5337</v>
      </c>
      <c r="D646" t="s">
        <v>5395</v>
      </c>
      <c r="E646" t="s">
        <v>5396</v>
      </c>
      <c r="F646" t="s">
        <v>3547</v>
      </c>
      <c r="G646" t="s">
        <v>5397</v>
      </c>
    </row>
    <row r="647" spans="1:7" ht="11.25" customHeight="1">
      <c r="A647" t="s">
        <v>16</v>
      </c>
      <c r="B647" t="s">
        <v>5398</v>
      </c>
      <c r="C647" t="s">
        <v>5399</v>
      </c>
      <c r="D647" t="s">
        <v>5400</v>
      </c>
      <c r="E647" t="s">
        <v>5401</v>
      </c>
      <c r="F647" t="s">
        <v>3547</v>
      </c>
      <c r="G647" t="s">
        <v>5402</v>
      </c>
    </row>
    <row r="648" spans="1:7" ht="11.25" customHeight="1">
      <c r="A648" t="s">
        <v>16</v>
      </c>
      <c r="B648" t="s">
        <v>5398</v>
      </c>
      <c r="C648" t="s">
        <v>5399</v>
      </c>
      <c r="D648" t="s">
        <v>5403</v>
      </c>
      <c r="E648" t="s">
        <v>5404</v>
      </c>
      <c r="F648" t="s">
        <v>3547</v>
      </c>
      <c r="G648" t="s">
        <v>5405</v>
      </c>
    </row>
    <row r="649" spans="1:7" ht="11.25" customHeight="1">
      <c r="A649" t="s">
        <v>16</v>
      </c>
      <c r="B649" t="s">
        <v>5398</v>
      </c>
      <c r="C649" t="s">
        <v>5399</v>
      </c>
      <c r="D649" t="s">
        <v>5406</v>
      </c>
      <c r="E649" t="s">
        <v>5407</v>
      </c>
      <c r="F649" t="s">
        <v>3547</v>
      </c>
      <c r="G649" t="s">
        <v>5408</v>
      </c>
    </row>
    <row r="650" spans="1:7" ht="11.25" customHeight="1">
      <c r="A650" t="s">
        <v>16</v>
      </c>
      <c r="B650" t="s">
        <v>5398</v>
      </c>
      <c r="C650" t="s">
        <v>5399</v>
      </c>
      <c r="D650" t="s">
        <v>5409</v>
      </c>
      <c r="E650" t="s">
        <v>5410</v>
      </c>
      <c r="F650" t="s">
        <v>3547</v>
      </c>
      <c r="G650" t="s">
        <v>5411</v>
      </c>
    </row>
    <row r="651" spans="1:7" ht="11.25" customHeight="1">
      <c r="A651" t="s">
        <v>16</v>
      </c>
      <c r="B651" t="s">
        <v>5398</v>
      </c>
      <c r="C651" t="s">
        <v>5399</v>
      </c>
      <c r="D651" t="s">
        <v>5412</v>
      </c>
      <c r="E651" t="s">
        <v>5413</v>
      </c>
      <c r="F651" t="s">
        <v>3547</v>
      </c>
      <c r="G651" t="s">
        <v>5414</v>
      </c>
    </row>
    <row r="652" spans="1:7" ht="11.25" customHeight="1">
      <c r="A652" t="s">
        <v>16</v>
      </c>
      <c r="B652" t="s">
        <v>5398</v>
      </c>
      <c r="C652" t="s">
        <v>5399</v>
      </c>
      <c r="D652" t="s">
        <v>5415</v>
      </c>
      <c r="E652" t="s">
        <v>5416</v>
      </c>
      <c r="F652" t="s">
        <v>3547</v>
      </c>
      <c r="G652" t="s">
        <v>5417</v>
      </c>
    </row>
    <row r="653" spans="1:7" ht="11.25" customHeight="1">
      <c r="A653" t="s">
        <v>16</v>
      </c>
      <c r="B653" t="s">
        <v>5398</v>
      </c>
      <c r="C653" t="s">
        <v>5399</v>
      </c>
      <c r="D653" t="s">
        <v>5418</v>
      </c>
      <c r="E653" t="s">
        <v>5419</v>
      </c>
      <c r="F653" t="s">
        <v>3547</v>
      </c>
      <c r="G653" t="s">
        <v>5420</v>
      </c>
    </row>
    <row r="654" spans="1:7" ht="11.25" customHeight="1">
      <c r="A654" t="s">
        <v>16</v>
      </c>
      <c r="B654" t="s">
        <v>5398</v>
      </c>
      <c r="C654" t="s">
        <v>5399</v>
      </c>
      <c r="D654" t="s">
        <v>5421</v>
      </c>
      <c r="E654" t="s">
        <v>5422</v>
      </c>
      <c r="F654" t="s">
        <v>3547</v>
      </c>
      <c r="G654" t="s">
        <v>5423</v>
      </c>
    </row>
    <row r="655" spans="1:7" ht="11.25" customHeight="1">
      <c r="A655" t="s">
        <v>16</v>
      </c>
      <c r="B655" t="s">
        <v>5398</v>
      </c>
      <c r="C655" t="s">
        <v>5399</v>
      </c>
      <c r="D655" t="s">
        <v>5424</v>
      </c>
      <c r="E655" t="s">
        <v>5425</v>
      </c>
      <c r="F655" t="s">
        <v>3547</v>
      </c>
      <c r="G655" t="s">
        <v>5426</v>
      </c>
    </row>
    <row r="656" spans="1:7" ht="11.25" customHeight="1">
      <c r="A656" t="s">
        <v>16</v>
      </c>
      <c r="B656" t="s">
        <v>5398</v>
      </c>
      <c r="C656" t="s">
        <v>5399</v>
      </c>
      <c r="D656" t="s">
        <v>5427</v>
      </c>
      <c r="E656" t="s">
        <v>5428</v>
      </c>
      <c r="F656" t="s">
        <v>3547</v>
      </c>
      <c r="G656" t="s">
        <v>5429</v>
      </c>
    </row>
    <row r="657" spans="1:7" ht="11.25" customHeight="1">
      <c r="A657" t="s">
        <v>16</v>
      </c>
      <c r="B657" t="s">
        <v>5398</v>
      </c>
      <c r="C657" t="s">
        <v>5399</v>
      </c>
      <c r="D657" t="s">
        <v>5398</v>
      </c>
      <c r="E657" t="s">
        <v>5399</v>
      </c>
      <c r="F657" t="s">
        <v>3544</v>
      </c>
      <c r="G657" t="s">
        <v>5430</v>
      </c>
    </row>
    <row r="658" spans="1:7" ht="11.25" customHeight="1">
      <c r="A658" t="s">
        <v>16</v>
      </c>
      <c r="B658" t="s">
        <v>5398</v>
      </c>
      <c r="C658" t="s">
        <v>5399</v>
      </c>
      <c r="D658" t="s">
        <v>5431</v>
      </c>
      <c r="E658" t="s">
        <v>5432</v>
      </c>
      <c r="F658" t="s">
        <v>3547</v>
      </c>
      <c r="G658" t="s">
        <v>5433</v>
      </c>
    </row>
    <row r="659" spans="1:7" ht="11.25" customHeight="1">
      <c r="A659" t="s">
        <v>16</v>
      </c>
      <c r="B659" t="s">
        <v>5398</v>
      </c>
      <c r="C659" t="s">
        <v>5399</v>
      </c>
      <c r="D659" t="s">
        <v>5434</v>
      </c>
      <c r="E659" t="s">
        <v>5435</v>
      </c>
      <c r="F659" t="s">
        <v>3547</v>
      </c>
      <c r="G659" t="s">
        <v>5436</v>
      </c>
    </row>
    <row r="660" spans="1:7" ht="11.25" customHeight="1">
      <c r="A660" t="s">
        <v>16</v>
      </c>
      <c r="B660" t="s">
        <v>5398</v>
      </c>
      <c r="C660" t="s">
        <v>5399</v>
      </c>
      <c r="D660" t="s">
        <v>5437</v>
      </c>
      <c r="E660" t="s">
        <v>5438</v>
      </c>
      <c r="F660" t="s">
        <v>3547</v>
      </c>
      <c r="G660" t="s">
        <v>5439</v>
      </c>
    </row>
    <row r="661" spans="1:7" ht="11.25" customHeight="1">
      <c r="A661" t="s">
        <v>16</v>
      </c>
      <c r="B661" t="s">
        <v>5398</v>
      </c>
      <c r="C661" t="s">
        <v>5399</v>
      </c>
      <c r="D661" t="s">
        <v>4491</v>
      </c>
      <c r="E661" t="s">
        <v>5440</v>
      </c>
      <c r="F661" t="s">
        <v>3547</v>
      </c>
      <c r="G661" t="s">
        <v>5441</v>
      </c>
    </row>
    <row r="662" spans="1:7" ht="11.25" customHeight="1">
      <c r="A662" t="s">
        <v>16</v>
      </c>
      <c r="B662" t="s">
        <v>5398</v>
      </c>
      <c r="C662" t="s">
        <v>5399</v>
      </c>
      <c r="D662" t="s">
        <v>5442</v>
      </c>
      <c r="E662" t="s">
        <v>5443</v>
      </c>
      <c r="F662" t="s">
        <v>3547</v>
      </c>
      <c r="G662" t="s">
        <v>5444</v>
      </c>
    </row>
    <row r="663" spans="1:7" ht="11.25" customHeight="1">
      <c r="A663" t="s">
        <v>16</v>
      </c>
      <c r="B663" t="s">
        <v>5398</v>
      </c>
      <c r="C663" t="s">
        <v>5399</v>
      </c>
      <c r="D663" t="s">
        <v>5445</v>
      </c>
      <c r="E663" t="s">
        <v>5446</v>
      </c>
      <c r="F663" t="s">
        <v>3547</v>
      </c>
      <c r="G663" t="s">
        <v>5447</v>
      </c>
    </row>
    <row r="664" spans="1:7" ht="11.25" customHeight="1">
      <c r="A664" t="s">
        <v>16</v>
      </c>
      <c r="B664" t="s">
        <v>5398</v>
      </c>
      <c r="C664" t="s">
        <v>5399</v>
      </c>
      <c r="D664" t="s">
        <v>5448</v>
      </c>
      <c r="E664" t="s">
        <v>5449</v>
      </c>
      <c r="F664" t="s">
        <v>3547</v>
      </c>
      <c r="G664" t="s">
        <v>5450</v>
      </c>
    </row>
    <row r="665" spans="1:7" ht="11.25" customHeight="1">
      <c r="A665" t="s">
        <v>16</v>
      </c>
      <c r="B665" t="s">
        <v>5398</v>
      </c>
      <c r="C665" t="s">
        <v>5399</v>
      </c>
      <c r="D665" t="s">
        <v>5451</v>
      </c>
      <c r="E665" t="s">
        <v>5452</v>
      </c>
      <c r="F665" t="s">
        <v>3547</v>
      </c>
      <c r="G665" t="s">
        <v>5453</v>
      </c>
    </row>
    <row r="666" spans="1:7" ht="11.25" customHeight="1">
      <c r="A666" t="s">
        <v>16</v>
      </c>
      <c r="B666" t="s">
        <v>5398</v>
      </c>
      <c r="C666" t="s">
        <v>5399</v>
      </c>
      <c r="D666" t="s">
        <v>5454</v>
      </c>
      <c r="E666" t="s">
        <v>5455</v>
      </c>
      <c r="F666" t="s">
        <v>3547</v>
      </c>
      <c r="G666" t="s">
        <v>5456</v>
      </c>
    </row>
    <row r="667" spans="1:7" ht="11.25" customHeight="1">
      <c r="A667" t="s">
        <v>16</v>
      </c>
      <c r="B667" t="s">
        <v>5457</v>
      </c>
      <c r="C667" t="s">
        <v>5458</v>
      </c>
      <c r="D667" t="s">
        <v>5459</v>
      </c>
      <c r="E667" t="s">
        <v>5460</v>
      </c>
      <c r="F667" t="s">
        <v>3547</v>
      </c>
      <c r="G667" t="s">
        <v>5461</v>
      </c>
    </row>
    <row r="668" spans="1:7" ht="11.25" customHeight="1">
      <c r="A668" t="s">
        <v>16</v>
      </c>
      <c r="B668" t="s">
        <v>5457</v>
      </c>
      <c r="C668" t="s">
        <v>5458</v>
      </c>
      <c r="D668" t="s">
        <v>5462</v>
      </c>
      <c r="E668" t="s">
        <v>5463</v>
      </c>
      <c r="F668" t="s">
        <v>3552</v>
      </c>
      <c r="G668" t="s">
        <v>5464</v>
      </c>
    </row>
    <row r="669" spans="1:7" ht="11.25" customHeight="1">
      <c r="A669" t="s">
        <v>16</v>
      </c>
      <c r="B669" t="s">
        <v>5457</v>
      </c>
      <c r="C669" t="s">
        <v>5458</v>
      </c>
      <c r="D669" t="s">
        <v>5465</v>
      </c>
      <c r="E669" t="s">
        <v>5466</v>
      </c>
      <c r="F669" t="s">
        <v>3547</v>
      </c>
      <c r="G669" t="s">
        <v>5467</v>
      </c>
    </row>
    <row r="670" spans="1:7" ht="11.25" customHeight="1">
      <c r="A670" t="s">
        <v>16</v>
      </c>
      <c r="B670" t="s">
        <v>5457</v>
      </c>
      <c r="C670" t="s">
        <v>5458</v>
      </c>
      <c r="D670" t="s">
        <v>5468</v>
      </c>
      <c r="E670" t="s">
        <v>5469</v>
      </c>
      <c r="F670" t="s">
        <v>3547</v>
      </c>
      <c r="G670" t="s">
        <v>5470</v>
      </c>
    </row>
    <row r="671" spans="1:7" ht="11.25" customHeight="1">
      <c r="A671" t="s">
        <v>16</v>
      </c>
      <c r="B671" t="s">
        <v>5457</v>
      </c>
      <c r="C671" t="s">
        <v>5458</v>
      </c>
      <c r="D671" t="s">
        <v>5471</v>
      </c>
      <c r="E671" t="s">
        <v>5472</v>
      </c>
      <c r="F671" t="s">
        <v>3547</v>
      </c>
      <c r="G671" t="s">
        <v>5473</v>
      </c>
    </row>
    <row r="672" spans="1:7" ht="11.25" customHeight="1">
      <c r="A672" t="s">
        <v>16</v>
      </c>
      <c r="B672" t="s">
        <v>5457</v>
      </c>
      <c r="C672" t="s">
        <v>5458</v>
      </c>
      <c r="D672" t="s">
        <v>5474</v>
      </c>
      <c r="E672" t="s">
        <v>5475</v>
      </c>
      <c r="F672" t="s">
        <v>3547</v>
      </c>
      <c r="G672" t="s">
        <v>5476</v>
      </c>
    </row>
    <row r="673" spans="1:7" ht="11.25" customHeight="1">
      <c r="A673" t="s">
        <v>16</v>
      </c>
      <c r="B673" t="s">
        <v>5457</v>
      </c>
      <c r="C673" t="s">
        <v>5458</v>
      </c>
      <c r="D673" t="s">
        <v>5477</v>
      </c>
      <c r="E673" t="s">
        <v>5478</v>
      </c>
      <c r="F673" t="s">
        <v>3547</v>
      </c>
      <c r="G673" t="s">
        <v>5479</v>
      </c>
    </row>
    <row r="674" spans="1:7" ht="11.25" customHeight="1">
      <c r="A674" t="s">
        <v>16</v>
      </c>
      <c r="B674" t="s">
        <v>5457</v>
      </c>
      <c r="C674" t="s">
        <v>5458</v>
      </c>
      <c r="D674" t="s">
        <v>5480</v>
      </c>
      <c r="E674" t="s">
        <v>5481</v>
      </c>
      <c r="F674" t="s">
        <v>3547</v>
      </c>
      <c r="G674" t="s">
        <v>5482</v>
      </c>
    </row>
    <row r="675" spans="1:7" ht="11.25" customHeight="1">
      <c r="A675" t="s">
        <v>16</v>
      </c>
      <c r="B675" t="s">
        <v>5457</v>
      </c>
      <c r="C675" t="s">
        <v>5458</v>
      </c>
      <c r="D675" t="s">
        <v>5077</v>
      </c>
      <c r="E675" t="s">
        <v>5483</v>
      </c>
      <c r="F675" t="s">
        <v>3547</v>
      </c>
      <c r="G675" t="s">
        <v>5484</v>
      </c>
    </row>
    <row r="676" spans="1:7" ht="11.25" customHeight="1">
      <c r="A676" t="s">
        <v>16</v>
      </c>
      <c r="B676" t="s">
        <v>5457</v>
      </c>
      <c r="C676" t="s">
        <v>5458</v>
      </c>
      <c r="D676" t="s">
        <v>5457</v>
      </c>
      <c r="E676" t="s">
        <v>5458</v>
      </c>
      <c r="F676" t="s">
        <v>3544</v>
      </c>
      <c r="G676" t="s">
        <v>5485</v>
      </c>
    </row>
    <row r="677" spans="1:7" ht="11.25" customHeight="1">
      <c r="A677" t="s">
        <v>16</v>
      </c>
      <c r="B677" t="s">
        <v>5457</v>
      </c>
      <c r="C677" t="s">
        <v>5458</v>
      </c>
      <c r="D677" t="s">
        <v>5486</v>
      </c>
      <c r="E677" t="s">
        <v>5487</v>
      </c>
      <c r="F677" t="s">
        <v>3547</v>
      </c>
      <c r="G677" t="s">
        <v>5488</v>
      </c>
    </row>
    <row r="678" spans="1:7" ht="11.25" customHeight="1">
      <c r="A678" t="s">
        <v>16</v>
      </c>
      <c r="B678" t="s">
        <v>5457</v>
      </c>
      <c r="C678" t="s">
        <v>5458</v>
      </c>
      <c r="D678" t="s">
        <v>5489</v>
      </c>
      <c r="E678" t="s">
        <v>5490</v>
      </c>
      <c r="F678" t="s">
        <v>3547</v>
      </c>
      <c r="G678" t="s">
        <v>5491</v>
      </c>
    </row>
    <row r="679" spans="1:7" ht="11.25" customHeight="1">
      <c r="A679" t="s">
        <v>16</v>
      </c>
      <c r="B679" t="s">
        <v>5457</v>
      </c>
      <c r="C679" t="s">
        <v>5458</v>
      </c>
      <c r="D679" t="s">
        <v>4271</v>
      </c>
      <c r="E679" t="s">
        <v>5492</v>
      </c>
      <c r="F679" t="s">
        <v>3547</v>
      </c>
      <c r="G679" t="s">
        <v>5493</v>
      </c>
    </row>
    <row r="680" spans="1:7" ht="11.25" customHeight="1">
      <c r="A680" t="s">
        <v>16</v>
      </c>
      <c r="B680" t="s">
        <v>5457</v>
      </c>
      <c r="C680" t="s">
        <v>5458</v>
      </c>
      <c r="D680" t="s">
        <v>5494</v>
      </c>
      <c r="E680" t="s">
        <v>5495</v>
      </c>
      <c r="F680" t="s">
        <v>3547</v>
      </c>
      <c r="G680" t="s">
        <v>5496</v>
      </c>
    </row>
    <row r="681" spans="1:7" ht="11.25" customHeight="1">
      <c r="A681" t="s">
        <v>16</v>
      </c>
      <c r="B681" t="s">
        <v>5457</v>
      </c>
      <c r="C681" t="s">
        <v>5458</v>
      </c>
      <c r="D681" t="s">
        <v>5497</v>
      </c>
      <c r="E681" t="s">
        <v>5498</v>
      </c>
      <c r="F681" t="s">
        <v>3547</v>
      </c>
      <c r="G681" t="s">
        <v>5499</v>
      </c>
    </row>
    <row r="682" spans="1:7" ht="11.25" customHeight="1">
      <c r="A682" t="s">
        <v>16</v>
      </c>
      <c r="B682" t="s">
        <v>5457</v>
      </c>
      <c r="C682" t="s">
        <v>5458</v>
      </c>
      <c r="D682" t="s">
        <v>5500</v>
      </c>
      <c r="E682" t="s">
        <v>5501</v>
      </c>
      <c r="F682" t="s">
        <v>3547</v>
      </c>
      <c r="G682" t="s">
        <v>5502</v>
      </c>
    </row>
    <row r="683" spans="1:7" ht="11.25" customHeight="1">
      <c r="A683" t="s">
        <v>16</v>
      </c>
      <c r="B683" t="s">
        <v>5457</v>
      </c>
      <c r="C683" t="s">
        <v>5458</v>
      </c>
      <c r="D683" t="s">
        <v>5503</v>
      </c>
      <c r="E683" t="s">
        <v>5504</v>
      </c>
      <c r="F683" t="s">
        <v>3547</v>
      </c>
      <c r="G683" t="s">
        <v>5505</v>
      </c>
    </row>
    <row r="684" spans="1:7" ht="11.25" customHeight="1">
      <c r="A684" t="s">
        <v>16</v>
      </c>
      <c r="B684" t="s">
        <v>5457</v>
      </c>
      <c r="C684" t="s">
        <v>5458</v>
      </c>
      <c r="D684" t="s">
        <v>5506</v>
      </c>
      <c r="E684" t="s">
        <v>5507</v>
      </c>
      <c r="F684" t="s">
        <v>3649</v>
      </c>
      <c r="G684" t="s">
        <v>5508</v>
      </c>
    </row>
    <row r="685" spans="1:7" ht="11.25" customHeight="1">
      <c r="A685" t="s">
        <v>16</v>
      </c>
      <c r="B685" t="s">
        <v>5509</v>
      </c>
      <c r="C685" t="s">
        <v>5510</v>
      </c>
      <c r="D685" t="s">
        <v>5511</v>
      </c>
      <c r="E685" t="s">
        <v>5512</v>
      </c>
      <c r="F685" t="s">
        <v>3547</v>
      </c>
      <c r="G685" t="s">
        <v>5513</v>
      </c>
    </row>
    <row r="686" spans="1:7" ht="11.25" customHeight="1">
      <c r="A686" t="s">
        <v>16</v>
      </c>
      <c r="B686" t="s">
        <v>5509</v>
      </c>
      <c r="C686" t="s">
        <v>5510</v>
      </c>
      <c r="D686" t="s">
        <v>5514</v>
      </c>
      <c r="E686" t="s">
        <v>5515</v>
      </c>
      <c r="F686" t="s">
        <v>3547</v>
      </c>
      <c r="G686" t="s">
        <v>5516</v>
      </c>
    </row>
    <row r="687" spans="1:7" ht="11.25" customHeight="1">
      <c r="A687" t="s">
        <v>16</v>
      </c>
      <c r="B687" t="s">
        <v>5509</v>
      </c>
      <c r="C687" t="s">
        <v>5510</v>
      </c>
      <c r="D687" t="s">
        <v>5517</v>
      </c>
      <c r="E687" t="s">
        <v>5518</v>
      </c>
      <c r="F687" t="s">
        <v>3547</v>
      </c>
      <c r="G687" t="s">
        <v>5519</v>
      </c>
    </row>
    <row r="688" spans="1:7" ht="11.25" customHeight="1">
      <c r="A688" t="s">
        <v>16</v>
      </c>
      <c r="B688" t="s">
        <v>5509</v>
      </c>
      <c r="C688" t="s">
        <v>5510</v>
      </c>
      <c r="D688" t="s">
        <v>5520</v>
      </c>
      <c r="E688" t="s">
        <v>5521</v>
      </c>
      <c r="F688" t="s">
        <v>3547</v>
      </c>
      <c r="G688" t="s">
        <v>5522</v>
      </c>
    </row>
    <row r="689" spans="1:7" ht="11.25" customHeight="1">
      <c r="A689" t="s">
        <v>16</v>
      </c>
      <c r="B689" t="s">
        <v>5509</v>
      </c>
      <c r="C689" t="s">
        <v>5510</v>
      </c>
      <c r="D689" t="s">
        <v>5523</v>
      </c>
      <c r="E689" t="s">
        <v>5524</v>
      </c>
      <c r="F689" t="s">
        <v>3547</v>
      </c>
      <c r="G689" t="s">
        <v>5525</v>
      </c>
    </row>
    <row r="690" spans="1:7" ht="11.25" customHeight="1">
      <c r="A690" t="s">
        <v>16</v>
      </c>
      <c r="B690" t="s">
        <v>5509</v>
      </c>
      <c r="C690" t="s">
        <v>5510</v>
      </c>
      <c r="D690" t="s">
        <v>5526</v>
      </c>
      <c r="E690" t="s">
        <v>5527</v>
      </c>
      <c r="F690" t="s">
        <v>3547</v>
      </c>
      <c r="G690" t="s">
        <v>5528</v>
      </c>
    </row>
    <row r="691" spans="1:7" ht="11.25" customHeight="1">
      <c r="A691" t="s">
        <v>16</v>
      </c>
      <c r="B691" t="s">
        <v>5509</v>
      </c>
      <c r="C691" t="s">
        <v>5510</v>
      </c>
      <c r="D691" t="s">
        <v>5529</v>
      </c>
      <c r="E691" t="s">
        <v>5530</v>
      </c>
      <c r="F691" t="s">
        <v>3547</v>
      </c>
      <c r="G691" t="s">
        <v>5531</v>
      </c>
    </row>
    <row r="692" spans="1:7" ht="11.25" customHeight="1">
      <c r="A692" t="s">
        <v>16</v>
      </c>
      <c r="B692" t="s">
        <v>5509</v>
      </c>
      <c r="C692" t="s">
        <v>5510</v>
      </c>
      <c r="D692" t="s">
        <v>5532</v>
      </c>
      <c r="E692" t="s">
        <v>5533</v>
      </c>
      <c r="F692" t="s">
        <v>3547</v>
      </c>
      <c r="G692" t="s">
        <v>5534</v>
      </c>
    </row>
    <row r="693" spans="1:7" ht="11.25" customHeight="1">
      <c r="A693" t="s">
        <v>16</v>
      </c>
      <c r="B693" t="s">
        <v>5509</v>
      </c>
      <c r="C693" t="s">
        <v>5510</v>
      </c>
      <c r="D693" t="s">
        <v>5509</v>
      </c>
      <c r="E693" t="s">
        <v>5510</v>
      </c>
      <c r="F693" t="s">
        <v>3544</v>
      </c>
      <c r="G693" t="s">
        <v>5535</v>
      </c>
    </row>
    <row r="694" spans="1:7" ht="11.25" customHeight="1">
      <c r="A694" t="s">
        <v>16</v>
      </c>
      <c r="B694" t="s">
        <v>5509</v>
      </c>
      <c r="C694" t="s">
        <v>5510</v>
      </c>
      <c r="D694" t="s">
        <v>5536</v>
      </c>
      <c r="E694" t="s">
        <v>5537</v>
      </c>
      <c r="F694" t="s">
        <v>3547</v>
      </c>
      <c r="G694" t="s">
        <v>5538</v>
      </c>
    </row>
    <row r="695" spans="1:7" ht="11.25" customHeight="1">
      <c r="A695" t="s">
        <v>16</v>
      </c>
      <c r="B695" t="s">
        <v>5509</v>
      </c>
      <c r="C695" t="s">
        <v>5510</v>
      </c>
      <c r="D695" t="s">
        <v>5539</v>
      </c>
      <c r="E695" t="s">
        <v>5540</v>
      </c>
      <c r="F695" t="s">
        <v>3547</v>
      </c>
      <c r="G695" t="s">
        <v>5541</v>
      </c>
    </row>
    <row r="696" spans="1:7" ht="11.25" customHeight="1">
      <c r="A696" t="s">
        <v>16</v>
      </c>
      <c r="B696" t="s">
        <v>5509</v>
      </c>
      <c r="C696" t="s">
        <v>5510</v>
      </c>
      <c r="D696" t="s">
        <v>5542</v>
      </c>
      <c r="E696" t="s">
        <v>5543</v>
      </c>
      <c r="F696" t="s">
        <v>3547</v>
      </c>
      <c r="G696" t="s">
        <v>5544</v>
      </c>
    </row>
    <row r="697" spans="1:7" ht="11.25" customHeight="1">
      <c r="A697" t="s">
        <v>16</v>
      </c>
      <c r="B697" t="s">
        <v>5509</v>
      </c>
      <c r="C697" t="s">
        <v>5510</v>
      </c>
      <c r="D697" t="s">
        <v>4838</v>
      </c>
      <c r="E697" t="s">
        <v>5545</v>
      </c>
      <c r="F697" t="s">
        <v>3547</v>
      </c>
      <c r="G697" t="s">
        <v>5546</v>
      </c>
    </row>
    <row r="698" spans="1:7" ht="11.25" customHeight="1">
      <c r="A698" t="s">
        <v>16</v>
      </c>
      <c r="B698" t="s">
        <v>5509</v>
      </c>
      <c r="C698" t="s">
        <v>5510</v>
      </c>
      <c r="D698" t="s">
        <v>5547</v>
      </c>
      <c r="E698" t="s">
        <v>5548</v>
      </c>
      <c r="F698" t="s">
        <v>3547</v>
      </c>
      <c r="G698" t="s">
        <v>5549</v>
      </c>
    </row>
    <row r="699" spans="1:7" ht="11.25" customHeight="1">
      <c r="A699" t="s">
        <v>16</v>
      </c>
      <c r="B699" t="s">
        <v>5509</v>
      </c>
      <c r="C699" t="s">
        <v>5510</v>
      </c>
      <c r="D699" t="s">
        <v>5550</v>
      </c>
      <c r="E699" t="s">
        <v>5551</v>
      </c>
      <c r="F699" t="s">
        <v>3547</v>
      </c>
      <c r="G699" t="s">
        <v>5552</v>
      </c>
    </row>
    <row r="700" spans="1:7" ht="11.25" customHeight="1">
      <c r="A700" t="s">
        <v>16</v>
      </c>
      <c r="B700" t="s">
        <v>5509</v>
      </c>
      <c r="C700" t="s">
        <v>5510</v>
      </c>
      <c r="D700" t="s">
        <v>5553</v>
      </c>
      <c r="E700" t="s">
        <v>5554</v>
      </c>
      <c r="F700" t="s">
        <v>3547</v>
      </c>
      <c r="G700" t="s">
        <v>5555</v>
      </c>
    </row>
    <row r="701" spans="1:7" ht="11.25" customHeight="1">
      <c r="A701" t="s">
        <v>16</v>
      </c>
      <c r="B701" t="s">
        <v>5556</v>
      </c>
      <c r="C701" t="s">
        <v>5557</v>
      </c>
      <c r="D701" t="s">
        <v>5558</v>
      </c>
      <c r="E701" t="s">
        <v>5559</v>
      </c>
      <c r="F701" t="s">
        <v>3547</v>
      </c>
      <c r="G701" t="s">
        <v>5560</v>
      </c>
    </row>
    <row r="702" spans="1:7" ht="11.25" customHeight="1">
      <c r="A702" t="s">
        <v>16</v>
      </c>
      <c r="B702" t="s">
        <v>5556</v>
      </c>
      <c r="C702" t="s">
        <v>5557</v>
      </c>
      <c r="D702" t="s">
        <v>5561</v>
      </c>
      <c r="E702" t="s">
        <v>5562</v>
      </c>
      <c r="F702" t="s">
        <v>3547</v>
      </c>
      <c r="G702" t="s">
        <v>5563</v>
      </c>
    </row>
    <row r="703" spans="1:7" ht="11.25" customHeight="1">
      <c r="A703" t="s">
        <v>16</v>
      </c>
      <c r="B703" t="s">
        <v>5556</v>
      </c>
      <c r="C703" t="s">
        <v>5557</v>
      </c>
      <c r="D703" t="s">
        <v>5564</v>
      </c>
      <c r="E703" t="s">
        <v>5565</v>
      </c>
      <c r="F703" t="s">
        <v>3547</v>
      </c>
      <c r="G703" t="s">
        <v>5566</v>
      </c>
    </row>
    <row r="704" spans="1:7" ht="11.25" customHeight="1">
      <c r="A704" t="s">
        <v>16</v>
      </c>
      <c r="B704" t="s">
        <v>5556</v>
      </c>
      <c r="C704" t="s">
        <v>5557</v>
      </c>
      <c r="D704" t="s">
        <v>5567</v>
      </c>
      <c r="E704" t="s">
        <v>5568</v>
      </c>
      <c r="F704" t="s">
        <v>3547</v>
      </c>
      <c r="G704" t="s">
        <v>5569</v>
      </c>
    </row>
    <row r="705" spans="1:7" ht="11.25" customHeight="1">
      <c r="A705" t="s">
        <v>16</v>
      </c>
      <c r="B705" t="s">
        <v>5556</v>
      </c>
      <c r="C705" t="s">
        <v>5557</v>
      </c>
      <c r="D705" t="s">
        <v>5570</v>
      </c>
      <c r="E705" t="s">
        <v>5571</v>
      </c>
      <c r="F705" t="s">
        <v>3547</v>
      </c>
      <c r="G705" t="s">
        <v>5572</v>
      </c>
    </row>
    <row r="706" spans="1:7" ht="11.25" customHeight="1">
      <c r="A706" t="s">
        <v>16</v>
      </c>
      <c r="B706" t="s">
        <v>5556</v>
      </c>
      <c r="C706" t="s">
        <v>5557</v>
      </c>
      <c r="D706" t="s">
        <v>5573</v>
      </c>
      <c r="E706" t="s">
        <v>5574</v>
      </c>
      <c r="F706" t="s">
        <v>3547</v>
      </c>
      <c r="G706" t="s">
        <v>5575</v>
      </c>
    </row>
    <row r="707" spans="1:7" ht="11.25" customHeight="1">
      <c r="A707" t="s">
        <v>16</v>
      </c>
      <c r="B707" t="s">
        <v>5556</v>
      </c>
      <c r="C707" t="s">
        <v>5557</v>
      </c>
      <c r="D707" t="s">
        <v>5576</v>
      </c>
      <c r="E707" t="s">
        <v>5577</v>
      </c>
      <c r="F707" t="s">
        <v>3547</v>
      </c>
      <c r="G707" t="s">
        <v>5578</v>
      </c>
    </row>
    <row r="708" spans="1:7" ht="11.25" customHeight="1">
      <c r="A708" t="s">
        <v>16</v>
      </c>
      <c r="B708" t="s">
        <v>5556</v>
      </c>
      <c r="C708" t="s">
        <v>5557</v>
      </c>
      <c r="D708" t="s">
        <v>5579</v>
      </c>
      <c r="E708" t="s">
        <v>5580</v>
      </c>
      <c r="F708" t="s">
        <v>3547</v>
      </c>
      <c r="G708" t="s">
        <v>5581</v>
      </c>
    </row>
    <row r="709" spans="1:7" ht="11.25" customHeight="1">
      <c r="A709" t="s">
        <v>16</v>
      </c>
      <c r="B709" t="s">
        <v>5556</v>
      </c>
      <c r="C709" t="s">
        <v>5557</v>
      </c>
      <c r="D709" t="s">
        <v>5582</v>
      </c>
      <c r="E709" t="s">
        <v>5583</v>
      </c>
      <c r="F709" t="s">
        <v>3552</v>
      </c>
      <c r="G709" t="s">
        <v>5584</v>
      </c>
    </row>
    <row r="710" spans="1:7" ht="11.25" customHeight="1">
      <c r="A710" t="s">
        <v>16</v>
      </c>
      <c r="B710" t="s">
        <v>5556</v>
      </c>
      <c r="C710" t="s">
        <v>5557</v>
      </c>
      <c r="D710" t="s">
        <v>5585</v>
      </c>
      <c r="E710" t="s">
        <v>5586</v>
      </c>
      <c r="F710" t="s">
        <v>3547</v>
      </c>
      <c r="G710" t="s">
        <v>5587</v>
      </c>
    </row>
    <row r="711" spans="1:7" ht="11.25" customHeight="1">
      <c r="A711" t="s">
        <v>16</v>
      </c>
      <c r="B711" t="s">
        <v>5556</v>
      </c>
      <c r="C711" t="s">
        <v>5557</v>
      </c>
      <c r="D711" t="s">
        <v>5588</v>
      </c>
      <c r="E711" t="s">
        <v>5589</v>
      </c>
      <c r="F711" t="s">
        <v>3547</v>
      </c>
      <c r="G711" t="s">
        <v>5590</v>
      </c>
    </row>
    <row r="712" spans="1:7" ht="11.25" customHeight="1">
      <c r="A712" t="s">
        <v>16</v>
      </c>
      <c r="B712" t="s">
        <v>5556</v>
      </c>
      <c r="C712" t="s">
        <v>5557</v>
      </c>
      <c r="D712" t="s">
        <v>5591</v>
      </c>
      <c r="E712" t="s">
        <v>5592</v>
      </c>
      <c r="F712" t="s">
        <v>3547</v>
      </c>
      <c r="G712" t="s">
        <v>5593</v>
      </c>
    </row>
    <row r="713" spans="1:7" ht="11.25" customHeight="1">
      <c r="A713" t="s">
        <v>16</v>
      </c>
      <c r="B713" t="s">
        <v>5556</v>
      </c>
      <c r="C713" t="s">
        <v>5557</v>
      </c>
      <c r="D713" t="s">
        <v>5594</v>
      </c>
      <c r="E713" t="s">
        <v>5595</v>
      </c>
      <c r="F713" t="s">
        <v>3547</v>
      </c>
      <c r="G713" t="s">
        <v>5596</v>
      </c>
    </row>
    <row r="714" spans="1:7" ht="11.25" customHeight="1">
      <c r="A714" t="s">
        <v>16</v>
      </c>
      <c r="B714" t="s">
        <v>5556</v>
      </c>
      <c r="C714" t="s">
        <v>5557</v>
      </c>
      <c r="D714" t="s">
        <v>5597</v>
      </c>
      <c r="E714" t="s">
        <v>5598</v>
      </c>
      <c r="F714" t="s">
        <v>3547</v>
      </c>
      <c r="G714" t="s">
        <v>5599</v>
      </c>
    </row>
    <row r="715" spans="1:7" ht="11.25" customHeight="1">
      <c r="A715" t="s">
        <v>16</v>
      </c>
      <c r="B715" t="s">
        <v>5556</v>
      </c>
      <c r="C715" t="s">
        <v>5557</v>
      </c>
      <c r="D715" t="s">
        <v>5600</v>
      </c>
      <c r="E715" t="s">
        <v>5601</v>
      </c>
      <c r="F715" t="s">
        <v>3547</v>
      </c>
      <c r="G715" t="s">
        <v>5602</v>
      </c>
    </row>
    <row r="716" spans="1:7" ht="11.25" customHeight="1">
      <c r="A716" t="s">
        <v>16</v>
      </c>
      <c r="B716" t="s">
        <v>5556</v>
      </c>
      <c r="C716" t="s">
        <v>5557</v>
      </c>
      <c r="D716" t="s">
        <v>5603</v>
      </c>
      <c r="E716" t="s">
        <v>5604</v>
      </c>
      <c r="F716" t="s">
        <v>3547</v>
      </c>
      <c r="G716" t="s">
        <v>5605</v>
      </c>
    </row>
    <row r="717" spans="1:7" ht="11.25" customHeight="1">
      <c r="A717" t="s">
        <v>16</v>
      </c>
      <c r="B717" t="s">
        <v>5556</v>
      </c>
      <c r="C717" t="s">
        <v>5557</v>
      </c>
      <c r="D717" t="s">
        <v>5606</v>
      </c>
      <c r="E717" t="s">
        <v>5607</v>
      </c>
      <c r="F717" t="s">
        <v>3547</v>
      </c>
      <c r="G717" t="s">
        <v>5608</v>
      </c>
    </row>
    <row r="718" spans="1:7" ht="11.25" customHeight="1">
      <c r="A718" t="s">
        <v>16</v>
      </c>
      <c r="B718" t="s">
        <v>5556</v>
      </c>
      <c r="C718" t="s">
        <v>5557</v>
      </c>
      <c r="D718" t="s">
        <v>5556</v>
      </c>
      <c r="E718" t="s">
        <v>5557</v>
      </c>
      <c r="F718" t="s">
        <v>3544</v>
      </c>
      <c r="G718" t="s">
        <v>5609</v>
      </c>
    </row>
    <row r="719" spans="1:7" ht="11.25" customHeight="1">
      <c r="A719" t="s">
        <v>16</v>
      </c>
      <c r="B719" t="s">
        <v>5556</v>
      </c>
      <c r="C719" t="s">
        <v>5557</v>
      </c>
      <c r="D719" t="s">
        <v>5610</v>
      </c>
      <c r="E719" t="s">
        <v>5611</v>
      </c>
      <c r="F719" t="s">
        <v>3547</v>
      </c>
      <c r="G719" t="s">
        <v>5612</v>
      </c>
    </row>
    <row r="720" spans="1:7" ht="11.25" customHeight="1">
      <c r="A720" t="s">
        <v>16</v>
      </c>
      <c r="B720" t="s">
        <v>5556</v>
      </c>
      <c r="C720" t="s">
        <v>5557</v>
      </c>
      <c r="D720" t="s">
        <v>5613</v>
      </c>
      <c r="E720" t="s">
        <v>5614</v>
      </c>
      <c r="F720" t="s">
        <v>3547</v>
      </c>
      <c r="G720" t="s">
        <v>5615</v>
      </c>
    </row>
    <row r="721" spans="1:7" ht="11.25" customHeight="1">
      <c r="A721" t="s">
        <v>16</v>
      </c>
      <c r="B721" t="s">
        <v>5556</v>
      </c>
      <c r="C721" t="s">
        <v>5557</v>
      </c>
      <c r="D721" t="s">
        <v>5616</v>
      </c>
      <c r="E721" t="s">
        <v>5617</v>
      </c>
      <c r="F721" t="s">
        <v>3547</v>
      </c>
      <c r="G721" t="s">
        <v>5618</v>
      </c>
    </row>
    <row r="722" spans="1:7" ht="11.25" customHeight="1">
      <c r="A722" t="s">
        <v>16</v>
      </c>
      <c r="B722" t="s">
        <v>5556</v>
      </c>
      <c r="C722" t="s">
        <v>5557</v>
      </c>
      <c r="D722" t="s">
        <v>3898</v>
      </c>
      <c r="E722" t="s">
        <v>5619</v>
      </c>
      <c r="F722" t="s">
        <v>3547</v>
      </c>
      <c r="G722" t="s">
        <v>5620</v>
      </c>
    </row>
    <row r="723" spans="1:7" ht="11.25" customHeight="1">
      <c r="A723" t="s">
        <v>16</v>
      </c>
      <c r="B723" t="s">
        <v>5556</v>
      </c>
      <c r="C723" t="s">
        <v>5557</v>
      </c>
      <c r="D723" t="s">
        <v>5621</v>
      </c>
      <c r="E723" t="s">
        <v>5622</v>
      </c>
      <c r="F723" t="s">
        <v>3547</v>
      </c>
      <c r="G723" t="s">
        <v>5623</v>
      </c>
    </row>
    <row r="724" spans="1:7" ht="11.25" customHeight="1">
      <c r="A724" t="s">
        <v>16</v>
      </c>
      <c r="B724" t="s">
        <v>5556</v>
      </c>
      <c r="C724" t="s">
        <v>5557</v>
      </c>
      <c r="D724" t="s">
        <v>5624</v>
      </c>
      <c r="E724" t="s">
        <v>5625</v>
      </c>
      <c r="F724" t="s">
        <v>3547</v>
      </c>
      <c r="G724" t="s">
        <v>5626</v>
      </c>
    </row>
    <row r="725" spans="1:7" ht="11.25" customHeight="1">
      <c r="A725" t="s">
        <v>16</v>
      </c>
      <c r="B725" t="s">
        <v>5556</v>
      </c>
      <c r="C725" t="s">
        <v>5557</v>
      </c>
      <c r="D725" t="s">
        <v>5627</v>
      </c>
      <c r="E725" t="s">
        <v>5628</v>
      </c>
      <c r="F725" t="s">
        <v>3547</v>
      </c>
      <c r="G725" t="s">
        <v>5629</v>
      </c>
    </row>
    <row r="726" spans="1:7" ht="11.25" customHeight="1">
      <c r="A726" t="s">
        <v>16</v>
      </c>
      <c r="B726" t="s">
        <v>5556</v>
      </c>
      <c r="C726" t="s">
        <v>5557</v>
      </c>
      <c r="D726" t="s">
        <v>5630</v>
      </c>
      <c r="E726" t="s">
        <v>5631</v>
      </c>
      <c r="F726" t="s">
        <v>3547</v>
      </c>
      <c r="G726" t="s">
        <v>5632</v>
      </c>
    </row>
    <row r="727" spans="1:7" ht="11.25" customHeight="1">
      <c r="A727" t="s">
        <v>16</v>
      </c>
      <c r="B727" t="s">
        <v>5556</v>
      </c>
      <c r="C727" t="s">
        <v>5557</v>
      </c>
      <c r="D727" t="s">
        <v>5633</v>
      </c>
      <c r="E727" t="s">
        <v>5634</v>
      </c>
      <c r="F727" t="s">
        <v>3547</v>
      </c>
      <c r="G727" t="s">
        <v>5635</v>
      </c>
    </row>
    <row r="728" spans="1:7" ht="11.25" customHeight="1">
      <c r="A728" t="s">
        <v>16</v>
      </c>
      <c r="B728" t="s">
        <v>5556</v>
      </c>
      <c r="C728" t="s">
        <v>5557</v>
      </c>
      <c r="D728" t="s">
        <v>5636</v>
      </c>
      <c r="E728" t="s">
        <v>5637</v>
      </c>
      <c r="F728" t="s">
        <v>3547</v>
      </c>
      <c r="G728" t="s">
        <v>5638</v>
      </c>
    </row>
    <row r="729" spans="1:7" ht="11.25" customHeight="1">
      <c r="A729" t="s">
        <v>16</v>
      </c>
      <c r="B729" t="s">
        <v>5639</v>
      </c>
      <c r="C729" t="s">
        <v>5640</v>
      </c>
      <c r="D729" t="s">
        <v>5641</v>
      </c>
      <c r="E729" t="s">
        <v>5642</v>
      </c>
      <c r="F729" t="s">
        <v>3547</v>
      </c>
      <c r="G729" t="s">
        <v>5643</v>
      </c>
    </row>
    <row r="730" spans="1:7" ht="11.25" customHeight="1">
      <c r="A730" t="s">
        <v>16</v>
      </c>
      <c r="B730" t="s">
        <v>5639</v>
      </c>
      <c r="C730" t="s">
        <v>5640</v>
      </c>
      <c r="D730" t="s">
        <v>5644</v>
      </c>
      <c r="E730" t="s">
        <v>5645</v>
      </c>
      <c r="F730" t="s">
        <v>3547</v>
      </c>
      <c r="G730" t="s">
        <v>5646</v>
      </c>
    </row>
    <row r="731" spans="1:7" ht="11.25" customHeight="1">
      <c r="A731" t="s">
        <v>16</v>
      </c>
      <c r="B731" t="s">
        <v>5639</v>
      </c>
      <c r="C731" t="s">
        <v>5640</v>
      </c>
      <c r="D731" t="s">
        <v>5647</v>
      </c>
      <c r="E731" t="s">
        <v>5648</v>
      </c>
      <c r="F731" t="s">
        <v>3547</v>
      </c>
      <c r="G731" t="s">
        <v>5649</v>
      </c>
    </row>
    <row r="732" spans="1:7" ht="11.25" customHeight="1">
      <c r="A732" t="s">
        <v>16</v>
      </c>
      <c r="B732" t="s">
        <v>5639</v>
      </c>
      <c r="C732" t="s">
        <v>5640</v>
      </c>
      <c r="D732" t="s">
        <v>5650</v>
      </c>
      <c r="E732" t="s">
        <v>5651</v>
      </c>
      <c r="F732" t="s">
        <v>3547</v>
      </c>
      <c r="G732" t="s">
        <v>5652</v>
      </c>
    </row>
    <row r="733" spans="1:7" ht="11.25" customHeight="1">
      <c r="A733" t="s">
        <v>16</v>
      </c>
      <c r="B733" t="s">
        <v>5639</v>
      </c>
      <c r="C733" t="s">
        <v>5640</v>
      </c>
      <c r="D733" t="s">
        <v>5653</v>
      </c>
      <c r="E733" t="s">
        <v>5654</v>
      </c>
      <c r="F733" t="s">
        <v>3547</v>
      </c>
      <c r="G733" t="s">
        <v>5655</v>
      </c>
    </row>
    <row r="734" spans="1:7" ht="11.25" customHeight="1">
      <c r="A734" t="s">
        <v>16</v>
      </c>
      <c r="B734" t="s">
        <v>5639</v>
      </c>
      <c r="C734" t="s">
        <v>5640</v>
      </c>
      <c r="D734" t="s">
        <v>5656</v>
      </c>
      <c r="E734" t="s">
        <v>5657</v>
      </c>
      <c r="F734" t="s">
        <v>3547</v>
      </c>
      <c r="G734" t="s">
        <v>5658</v>
      </c>
    </row>
    <row r="735" spans="1:7" ht="11.25" customHeight="1">
      <c r="A735" t="s">
        <v>16</v>
      </c>
      <c r="B735" t="s">
        <v>5639</v>
      </c>
      <c r="C735" t="s">
        <v>5640</v>
      </c>
      <c r="D735" t="s">
        <v>5659</v>
      </c>
      <c r="E735" t="s">
        <v>5660</v>
      </c>
      <c r="F735" t="s">
        <v>3547</v>
      </c>
      <c r="G735" t="s">
        <v>5661</v>
      </c>
    </row>
    <row r="736" spans="1:7" ht="11.25" customHeight="1">
      <c r="A736" t="s">
        <v>16</v>
      </c>
      <c r="B736" t="s">
        <v>5639</v>
      </c>
      <c r="C736" t="s">
        <v>5640</v>
      </c>
      <c r="D736" t="s">
        <v>5662</v>
      </c>
      <c r="E736" t="s">
        <v>5663</v>
      </c>
      <c r="F736" t="s">
        <v>3547</v>
      </c>
      <c r="G736" t="s">
        <v>5664</v>
      </c>
    </row>
    <row r="737" spans="1:7" ht="11.25" customHeight="1">
      <c r="A737" t="s">
        <v>16</v>
      </c>
      <c r="B737" t="s">
        <v>5639</v>
      </c>
      <c r="C737" t="s">
        <v>5640</v>
      </c>
      <c r="D737" t="s">
        <v>5665</v>
      </c>
      <c r="E737" t="s">
        <v>5666</v>
      </c>
      <c r="F737" t="s">
        <v>3547</v>
      </c>
      <c r="G737" t="s">
        <v>5667</v>
      </c>
    </row>
    <row r="738" spans="1:7" ht="11.25" customHeight="1">
      <c r="A738" t="s">
        <v>16</v>
      </c>
      <c r="B738" t="s">
        <v>5639</v>
      </c>
      <c r="C738" t="s">
        <v>5640</v>
      </c>
      <c r="D738" t="s">
        <v>5668</v>
      </c>
      <c r="E738" t="s">
        <v>5669</v>
      </c>
      <c r="F738" t="s">
        <v>3547</v>
      </c>
      <c r="G738" t="s">
        <v>5670</v>
      </c>
    </row>
    <row r="739" spans="1:7" ht="11.25" customHeight="1">
      <c r="A739" t="s">
        <v>16</v>
      </c>
      <c r="B739" t="s">
        <v>5639</v>
      </c>
      <c r="C739" t="s">
        <v>5640</v>
      </c>
      <c r="D739" t="s">
        <v>5671</v>
      </c>
      <c r="E739" t="s">
        <v>5672</v>
      </c>
      <c r="F739" t="s">
        <v>3547</v>
      </c>
      <c r="G739" t="s">
        <v>5673</v>
      </c>
    </row>
    <row r="740" spans="1:7" ht="11.25" customHeight="1">
      <c r="A740" t="s">
        <v>16</v>
      </c>
      <c r="B740" t="s">
        <v>5639</v>
      </c>
      <c r="C740" t="s">
        <v>5640</v>
      </c>
      <c r="D740" t="s">
        <v>4880</v>
      </c>
      <c r="E740" t="s">
        <v>5674</v>
      </c>
      <c r="F740" t="s">
        <v>3547</v>
      </c>
      <c r="G740" t="s">
        <v>5675</v>
      </c>
    </row>
    <row r="741" spans="1:7" ht="11.25" customHeight="1">
      <c r="A741" t="s">
        <v>16</v>
      </c>
      <c r="B741" t="s">
        <v>5639</v>
      </c>
      <c r="C741" t="s">
        <v>5640</v>
      </c>
      <c r="D741" t="s">
        <v>5676</v>
      </c>
      <c r="E741" t="s">
        <v>5677</v>
      </c>
      <c r="F741" t="s">
        <v>3547</v>
      </c>
      <c r="G741" t="s">
        <v>5678</v>
      </c>
    </row>
    <row r="742" spans="1:7" ht="11.25" customHeight="1">
      <c r="A742" t="s">
        <v>16</v>
      </c>
      <c r="B742" t="s">
        <v>5639</v>
      </c>
      <c r="C742" t="s">
        <v>5640</v>
      </c>
      <c r="D742" t="s">
        <v>5679</v>
      </c>
      <c r="E742" t="s">
        <v>5680</v>
      </c>
      <c r="F742" t="s">
        <v>3547</v>
      </c>
      <c r="G742" t="s">
        <v>5681</v>
      </c>
    </row>
    <row r="743" spans="1:7" ht="11.25" customHeight="1">
      <c r="A743" t="s">
        <v>16</v>
      </c>
      <c r="B743" t="s">
        <v>5639</v>
      </c>
      <c r="C743" t="s">
        <v>5640</v>
      </c>
      <c r="D743" t="s">
        <v>5639</v>
      </c>
      <c r="E743" t="s">
        <v>5640</v>
      </c>
      <c r="F743" t="s">
        <v>3544</v>
      </c>
      <c r="G743" t="s">
        <v>5682</v>
      </c>
    </row>
    <row r="744" spans="1:7" ht="11.25" customHeight="1">
      <c r="A744" t="s">
        <v>16</v>
      </c>
      <c r="B744" t="s">
        <v>5639</v>
      </c>
      <c r="C744" t="s">
        <v>5640</v>
      </c>
      <c r="D744" t="s">
        <v>5683</v>
      </c>
      <c r="E744" t="s">
        <v>5684</v>
      </c>
      <c r="F744" t="s">
        <v>3547</v>
      </c>
      <c r="G744" t="s">
        <v>5685</v>
      </c>
    </row>
    <row r="745" spans="1:7" ht="11.25" customHeight="1">
      <c r="A745" t="s">
        <v>16</v>
      </c>
      <c r="B745" t="s">
        <v>5639</v>
      </c>
      <c r="C745" t="s">
        <v>5640</v>
      </c>
      <c r="D745" t="s">
        <v>5686</v>
      </c>
      <c r="E745" t="s">
        <v>5687</v>
      </c>
      <c r="F745" t="s">
        <v>3547</v>
      </c>
      <c r="G745" t="s">
        <v>5688</v>
      </c>
    </row>
    <row r="746" spans="1:7" ht="11.25" customHeight="1">
      <c r="A746" t="s">
        <v>16</v>
      </c>
      <c r="B746" t="s">
        <v>5639</v>
      </c>
      <c r="C746" t="s">
        <v>5640</v>
      </c>
      <c r="D746" t="s">
        <v>5689</v>
      </c>
      <c r="E746" t="s">
        <v>5690</v>
      </c>
      <c r="F746" t="s">
        <v>3547</v>
      </c>
      <c r="G746" t="s">
        <v>5691</v>
      </c>
    </row>
    <row r="747" spans="1:7" ht="11.25" customHeight="1">
      <c r="A747" t="s">
        <v>16</v>
      </c>
      <c r="B747" t="s">
        <v>5639</v>
      </c>
      <c r="C747" t="s">
        <v>5640</v>
      </c>
      <c r="D747" t="s">
        <v>5692</v>
      </c>
      <c r="E747" t="s">
        <v>5693</v>
      </c>
      <c r="F747" t="s">
        <v>3547</v>
      </c>
      <c r="G747" t="s">
        <v>5694</v>
      </c>
    </row>
    <row r="748" spans="1:7" ht="11.25" customHeight="1">
      <c r="A748" t="s">
        <v>16</v>
      </c>
      <c r="B748" t="s">
        <v>5639</v>
      </c>
      <c r="C748" t="s">
        <v>5640</v>
      </c>
      <c r="D748" t="s">
        <v>5695</v>
      </c>
      <c r="E748" t="s">
        <v>5696</v>
      </c>
      <c r="F748" t="s">
        <v>3547</v>
      </c>
      <c r="G748" t="s">
        <v>5697</v>
      </c>
    </row>
    <row r="749" spans="1:7" ht="11.25" customHeight="1">
      <c r="A749" t="s">
        <v>16</v>
      </c>
      <c r="B749" t="s">
        <v>5639</v>
      </c>
      <c r="C749" t="s">
        <v>5640</v>
      </c>
      <c r="D749" t="s">
        <v>5698</v>
      </c>
      <c r="E749" t="s">
        <v>5699</v>
      </c>
      <c r="F749" t="s">
        <v>3547</v>
      </c>
      <c r="G749" t="s">
        <v>5700</v>
      </c>
    </row>
    <row r="750" spans="1:7" ht="11.25" customHeight="1">
      <c r="A750" t="s">
        <v>16</v>
      </c>
      <c r="B750" t="s">
        <v>5639</v>
      </c>
      <c r="C750" t="s">
        <v>5640</v>
      </c>
      <c r="D750" t="s">
        <v>5701</v>
      </c>
      <c r="E750" t="s">
        <v>5702</v>
      </c>
      <c r="F750" t="s">
        <v>3547</v>
      </c>
      <c r="G750" t="s">
        <v>5703</v>
      </c>
    </row>
    <row r="751" spans="1:7" ht="11.25" customHeight="1">
      <c r="A751" t="s">
        <v>16</v>
      </c>
      <c r="B751" t="s">
        <v>5704</v>
      </c>
      <c r="C751" t="s">
        <v>5705</v>
      </c>
      <c r="D751" t="s">
        <v>5706</v>
      </c>
      <c r="E751" t="s">
        <v>5707</v>
      </c>
      <c r="F751" t="s">
        <v>3547</v>
      </c>
      <c r="G751" t="s">
        <v>5708</v>
      </c>
    </row>
    <row r="752" spans="1:7" ht="11.25" customHeight="1">
      <c r="A752" t="s">
        <v>16</v>
      </c>
      <c r="B752" t="s">
        <v>5704</v>
      </c>
      <c r="C752" t="s">
        <v>5705</v>
      </c>
      <c r="D752" t="s">
        <v>5709</v>
      </c>
      <c r="E752" t="s">
        <v>5710</v>
      </c>
      <c r="F752" t="s">
        <v>3547</v>
      </c>
      <c r="G752" t="s">
        <v>5711</v>
      </c>
    </row>
    <row r="753" spans="1:7" ht="11.25" customHeight="1">
      <c r="A753" t="s">
        <v>16</v>
      </c>
      <c r="B753" t="s">
        <v>5704</v>
      </c>
      <c r="C753" t="s">
        <v>5705</v>
      </c>
      <c r="D753" t="s">
        <v>5712</v>
      </c>
      <c r="E753" t="s">
        <v>5713</v>
      </c>
      <c r="F753" t="s">
        <v>3547</v>
      </c>
      <c r="G753" t="s">
        <v>5714</v>
      </c>
    </row>
    <row r="754" spans="1:7" ht="11.25" customHeight="1">
      <c r="A754" t="s">
        <v>16</v>
      </c>
      <c r="B754" t="s">
        <v>5704</v>
      </c>
      <c r="C754" t="s">
        <v>5705</v>
      </c>
      <c r="D754" t="s">
        <v>5715</v>
      </c>
      <c r="E754" t="s">
        <v>5716</v>
      </c>
      <c r="F754" t="s">
        <v>3547</v>
      </c>
      <c r="G754" t="s">
        <v>5717</v>
      </c>
    </row>
    <row r="755" spans="1:7" ht="11.25" customHeight="1">
      <c r="A755" t="s">
        <v>16</v>
      </c>
      <c r="B755" t="s">
        <v>5704</v>
      </c>
      <c r="C755" t="s">
        <v>5705</v>
      </c>
      <c r="D755" t="s">
        <v>5718</v>
      </c>
      <c r="E755" t="s">
        <v>5719</v>
      </c>
      <c r="F755" t="s">
        <v>3547</v>
      </c>
      <c r="G755" t="s">
        <v>5720</v>
      </c>
    </row>
    <row r="756" spans="1:7" ht="11.25" customHeight="1">
      <c r="A756" t="s">
        <v>16</v>
      </c>
      <c r="B756" t="s">
        <v>5704</v>
      </c>
      <c r="C756" t="s">
        <v>5705</v>
      </c>
      <c r="D756" t="s">
        <v>5721</v>
      </c>
      <c r="E756" t="s">
        <v>5722</v>
      </c>
      <c r="F756" t="s">
        <v>3547</v>
      </c>
      <c r="G756" t="s">
        <v>5723</v>
      </c>
    </row>
    <row r="757" spans="1:7" ht="11.25" customHeight="1">
      <c r="A757" t="s">
        <v>16</v>
      </c>
      <c r="B757" t="s">
        <v>5704</v>
      </c>
      <c r="C757" t="s">
        <v>5705</v>
      </c>
      <c r="D757" t="s">
        <v>5724</v>
      </c>
      <c r="E757" t="s">
        <v>5725</v>
      </c>
      <c r="F757" t="s">
        <v>3547</v>
      </c>
      <c r="G757" t="s">
        <v>5726</v>
      </c>
    </row>
    <row r="758" spans="1:7" ht="11.25" customHeight="1">
      <c r="A758" t="s">
        <v>16</v>
      </c>
      <c r="B758" t="s">
        <v>5704</v>
      </c>
      <c r="C758" t="s">
        <v>5705</v>
      </c>
      <c r="D758" t="s">
        <v>5727</v>
      </c>
      <c r="E758" t="s">
        <v>5728</v>
      </c>
      <c r="F758" t="s">
        <v>3547</v>
      </c>
      <c r="G758" t="s">
        <v>5729</v>
      </c>
    </row>
    <row r="759" spans="1:7" ht="11.25" customHeight="1">
      <c r="A759" t="s">
        <v>16</v>
      </c>
      <c r="B759" t="s">
        <v>5704</v>
      </c>
      <c r="C759" t="s">
        <v>5705</v>
      </c>
      <c r="D759" t="s">
        <v>5730</v>
      </c>
      <c r="E759" t="s">
        <v>5731</v>
      </c>
      <c r="F759" t="s">
        <v>3547</v>
      </c>
      <c r="G759" t="s">
        <v>5732</v>
      </c>
    </row>
    <row r="760" spans="1:7" ht="11.25" customHeight="1">
      <c r="A760" t="s">
        <v>16</v>
      </c>
      <c r="B760" t="s">
        <v>5704</v>
      </c>
      <c r="C760" t="s">
        <v>5705</v>
      </c>
      <c r="D760" t="s">
        <v>5733</v>
      </c>
      <c r="E760" t="s">
        <v>5734</v>
      </c>
      <c r="F760" t="s">
        <v>3547</v>
      </c>
      <c r="G760" t="s">
        <v>5735</v>
      </c>
    </row>
    <row r="761" spans="1:7" ht="11.25" customHeight="1">
      <c r="A761" t="s">
        <v>16</v>
      </c>
      <c r="B761" t="s">
        <v>5704</v>
      </c>
      <c r="C761" t="s">
        <v>5705</v>
      </c>
      <c r="D761" t="s">
        <v>5736</v>
      </c>
      <c r="E761" t="s">
        <v>5737</v>
      </c>
      <c r="F761" t="s">
        <v>3547</v>
      </c>
      <c r="G761" t="s">
        <v>5738</v>
      </c>
    </row>
    <row r="762" spans="1:7" ht="11.25" customHeight="1">
      <c r="A762" t="s">
        <v>16</v>
      </c>
      <c r="B762" t="s">
        <v>5704</v>
      </c>
      <c r="C762" t="s">
        <v>5705</v>
      </c>
      <c r="D762" t="s">
        <v>5739</v>
      </c>
      <c r="E762" t="s">
        <v>5740</v>
      </c>
      <c r="F762" t="s">
        <v>3547</v>
      </c>
      <c r="G762" t="s">
        <v>5741</v>
      </c>
    </row>
    <row r="763" spans="1:7" ht="11.25" customHeight="1">
      <c r="A763" t="s">
        <v>16</v>
      </c>
      <c r="B763" t="s">
        <v>5704</v>
      </c>
      <c r="C763" t="s">
        <v>5705</v>
      </c>
      <c r="D763" t="s">
        <v>5742</v>
      </c>
      <c r="E763" t="s">
        <v>5743</v>
      </c>
      <c r="F763" t="s">
        <v>3547</v>
      </c>
      <c r="G763" t="s">
        <v>5744</v>
      </c>
    </row>
    <row r="764" spans="1:7" ht="11.25" customHeight="1">
      <c r="A764" t="s">
        <v>16</v>
      </c>
      <c r="B764" t="s">
        <v>5704</v>
      </c>
      <c r="C764" t="s">
        <v>5705</v>
      </c>
      <c r="D764" t="s">
        <v>5745</v>
      </c>
      <c r="E764" t="s">
        <v>5746</v>
      </c>
      <c r="F764" t="s">
        <v>3547</v>
      </c>
      <c r="G764" t="s">
        <v>5747</v>
      </c>
    </row>
    <row r="765" spans="1:7" ht="11.25" customHeight="1">
      <c r="A765" t="s">
        <v>16</v>
      </c>
      <c r="B765" t="s">
        <v>5704</v>
      </c>
      <c r="C765" t="s">
        <v>5705</v>
      </c>
      <c r="D765" t="s">
        <v>5748</v>
      </c>
      <c r="E765" t="s">
        <v>5749</v>
      </c>
      <c r="F765" t="s">
        <v>3547</v>
      </c>
      <c r="G765" t="s">
        <v>5750</v>
      </c>
    </row>
    <row r="766" spans="1:7" ht="11.25" customHeight="1">
      <c r="A766" t="s">
        <v>16</v>
      </c>
      <c r="B766" t="s">
        <v>5704</v>
      </c>
      <c r="C766" t="s">
        <v>5705</v>
      </c>
      <c r="D766" t="s">
        <v>5751</v>
      </c>
      <c r="E766" t="s">
        <v>5752</v>
      </c>
      <c r="F766" t="s">
        <v>3547</v>
      </c>
      <c r="G766" t="s">
        <v>5753</v>
      </c>
    </row>
    <row r="767" spans="1:7" ht="11.25" customHeight="1">
      <c r="A767" t="s">
        <v>16</v>
      </c>
      <c r="B767" t="s">
        <v>5704</v>
      </c>
      <c r="C767" t="s">
        <v>5705</v>
      </c>
      <c r="D767" t="s">
        <v>5754</v>
      </c>
      <c r="E767" t="s">
        <v>5755</v>
      </c>
      <c r="F767" t="s">
        <v>3547</v>
      </c>
      <c r="G767" t="s">
        <v>5756</v>
      </c>
    </row>
    <row r="768" spans="1:7" ht="11.25" customHeight="1">
      <c r="A768" t="s">
        <v>16</v>
      </c>
      <c r="B768" t="s">
        <v>5704</v>
      </c>
      <c r="C768" t="s">
        <v>5705</v>
      </c>
      <c r="D768" t="s">
        <v>5757</v>
      </c>
      <c r="E768" t="s">
        <v>5758</v>
      </c>
      <c r="F768" t="s">
        <v>3547</v>
      </c>
      <c r="G768" t="s">
        <v>5759</v>
      </c>
    </row>
    <row r="769" spans="1:7" ht="11.25" customHeight="1">
      <c r="A769" t="s">
        <v>16</v>
      </c>
      <c r="B769" t="s">
        <v>5704</v>
      </c>
      <c r="C769" t="s">
        <v>5705</v>
      </c>
      <c r="D769" t="s">
        <v>5760</v>
      </c>
      <c r="E769" t="s">
        <v>5761</v>
      </c>
      <c r="F769" t="s">
        <v>3547</v>
      </c>
      <c r="G769" t="s">
        <v>5762</v>
      </c>
    </row>
    <row r="770" spans="1:7" ht="11.25" customHeight="1">
      <c r="A770" t="s">
        <v>16</v>
      </c>
      <c r="B770" t="s">
        <v>5704</v>
      </c>
      <c r="C770" t="s">
        <v>5705</v>
      </c>
      <c r="D770" t="s">
        <v>5704</v>
      </c>
      <c r="E770" t="s">
        <v>5705</v>
      </c>
      <c r="F770" t="s">
        <v>3544</v>
      </c>
      <c r="G770" t="s">
        <v>5763</v>
      </c>
    </row>
    <row r="771" spans="1:7" ht="11.25" customHeight="1">
      <c r="A771" t="s">
        <v>16</v>
      </c>
      <c r="B771" t="s">
        <v>5704</v>
      </c>
      <c r="C771" t="s">
        <v>5705</v>
      </c>
      <c r="D771" t="s">
        <v>5764</v>
      </c>
      <c r="E771" t="s">
        <v>5765</v>
      </c>
      <c r="F771" t="s">
        <v>3547</v>
      </c>
      <c r="G771" t="s">
        <v>5766</v>
      </c>
    </row>
    <row r="772" spans="1:7" ht="11.25" customHeight="1">
      <c r="A772" t="s">
        <v>16</v>
      </c>
      <c r="B772" t="s">
        <v>5704</v>
      </c>
      <c r="C772" t="s">
        <v>5705</v>
      </c>
      <c r="D772" t="s">
        <v>5767</v>
      </c>
      <c r="E772" t="s">
        <v>5768</v>
      </c>
      <c r="F772" t="s">
        <v>3547</v>
      </c>
      <c r="G772" t="s">
        <v>5769</v>
      </c>
    </row>
    <row r="773" spans="1:7" ht="11.25" customHeight="1">
      <c r="A773" t="s">
        <v>16</v>
      </c>
      <c r="B773" t="s">
        <v>5704</v>
      </c>
      <c r="C773" t="s">
        <v>5705</v>
      </c>
      <c r="D773" t="s">
        <v>5770</v>
      </c>
      <c r="E773" t="s">
        <v>5771</v>
      </c>
      <c r="F773" t="s">
        <v>3547</v>
      </c>
      <c r="G773" t="s">
        <v>5772</v>
      </c>
    </row>
    <row r="774" spans="1:7" ht="11.25" customHeight="1">
      <c r="A774" t="s">
        <v>16</v>
      </c>
      <c r="B774" t="s">
        <v>5704</v>
      </c>
      <c r="C774" t="s">
        <v>5705</v>
      </c>
      <c r="D774" t="s">
        <v>5773</v>
      </c>
      <c r="E774" t="s">
        <v>5774</v>
      </c>
      <c r="F774" t="s">
        <v>3547</v>
      </c>
      <c r="G774" t="s">
        <v>5775</v>
      </c>
    </row>
    <row r="775" spans="1:7" ht="11.25" customHeight="1">
      <c r="A775" t="s">
        <v>16</v>
      </c>
      <c r="B775" t="s">
        <v>5704</v>
      </c>
      <c r="C775" t="s">
        <v>5705</v>
      </c>
      <c r="D775" t="s">
        <v>5776</v>
      </c>
      <c r="E775" t="s">
        <v>5777</v>
      </c>
      <c r="F775" t="s">
        <v>3547</v>
      </c>
      <c r="G775" t="s">
        <v>5778</v>
      </c>
    </row>
    <row r="776" spans="1:7" ht="11.25" customHeight="1">
      <c r="A776" t="s">
        <v>16</v>
      </c>
      <c r="B776" t="s">
        <v>5704</v>
      </c>
      <c r="C776" t="s">
        <v>5705</v>
      </c>
      <c r="D776" t="s">
        <v>5779</v>
      </c>
      <c r="E776" t="s">
        <v>5780</v>
      </c>
      <c r="F776" t="s">
        <v>3547</v>
      </c>
      <c r="G776" t="s">
        <v>5781</v>
      </c>
    </row>
    <row r="777" spans="1:7" ht="11.25" customHeight="1">
      <c r="A777" t="s">
        <v>16</v>
      </c>
      <c r="B777" t="s">
        <v>5704</v>
      </c>
      <c r="C777" t="s">
        <v>5705</v>
      </c>
      <c r="D777" t="s">
        <v>5782</v>
      </c>
      <c r="E777" t="s">
        <v>5783</v>
      </c>
      <c r="F777" t="s">
        <v>3547</v>
      </c>
      <c r="G777" t="s">
        <v>5784</v>
      </c>
    </row>
    <row r="778" spans="1:7" ht="11.25" customHeight="1">
      <c r="A778" t="s">
        <v>16</v>
      </c>
      <c r="B778" t="s">
        <v>5704</v>
      </c>
      <c r="C778" t="s">
        <v>5705</v>
      </c>
      <c r="D778" t="s">
        <v>5785</v>
      </c>
      <c r="E778" t="s">
        <v>5786</v>
      </c>
      <c r="F778" t="s">
        <v>3649</v>
      </c>
      <c r="G778" t="s">
        <v>5787</v>
      </c>
    </row>
    <row r="779" spans="1:7" ht="11.25" customHeight="1">
      <c r="A779" t="s">
        <v>16</v>
      </c>
      <c r="B779" t="s">
        <v>5788</v>
      </c>
      <c r="C779" t="s">
        <v>5789</v>
      </c>
      <c r="D779" t="s">
        <v>5790</v>
      </c>
      <c r="E779" t="s">
        <v>5791</v>
      </c>
      <c r="F779" t="s">
        <v>3547</v>
      </c>
      <c r="G779" t="s">
        <v>5792</v>
      </c>
    </row>
    <row r="780" spans="1:7" ht="11.25" customHeight="1">
      <c r="A780" t="s">
        <v>16</v>
      </c>
      <c r="B780" t="s">
        <v>5788</v>
      </c>
      <c r="C780" t="s">
        <v>5789</v>
      </c>
      <c r="D780" t="s">
        <v>5793</v>
      </c>
      <c r="E780" t="s">
        <v>5794</v>
      </c>
      <c r="F780" t="s">
        <v>3547</v>
      </c>
      <c r="G780" t="s">
        <v>5795</v>
      </c>
    </row>
    <row r="781" spans="1:7" ht="11.25" customHeight="1">
      <c r="A781" t="s">
        <v>16</v>
      </c>
      <c r="B781" t="s">
        <v>5788</v>
      </c>
      <c r="C781" t="s">
        <v>5789</v>
      </c>
      <c r="D781" t="s">
        <v>5796</v>
      </c>
      <c r="E781" t="s">
        <v>5797</v>
      </c>
      <c r="F781" t="s">
        <v>3547</v>
      </c>
      <c r="G781" t="s">
        <v>5798</v>
      </c>
    </row>
    <row r="782" spans="1:7" ht="11.25" customHeight="1">
      <c r="A782" t="s">
        <v>16</v>
      </c>
      <c r="B782" t="s">
        <v>5788</v>
      </c>
      <c r="C782" t="s">
        <v>5789</v>
      </c>
      <c r="D782" t="s">
        <v>5799</v>
      </c>
      <c r="E782" t="s">
        <v>5800</v>
      </c>
      <c r="F782" t="s">
        <v>3547</v>
      </c>
      <c r="G782" t="s">
        <v>5801</v>
      </c>
    </row>
    <row r="783" spans="1:7" ht="11.25" customHeight="1">
      <c r="A783" t="s">
        <v>16</v>
      </c>
      <c r="B783" t="s">
        <v>5788</v>
      </c>
      <c r="C783" t="s">
        <v>5789</v>
      </c>
      <c r="D783" t="s">
        <v>5802</v>
      </c>
      <c r="E783" t="s">
        <v>5803</v>
      </c>
      <c r="F783" t="s">
        <v>3547</v>
      </c>
      <c r="G783" t="s">
        <v>5804</v>
      </c>
    </row>
    <row r="784" spans="1:7" ht="11.25" customHeight="1">
      <c r="A784" t="s">
        <v>16</v>
      </c>
      <c r="B784" t="s">
        <v>5788</v>
      </c>
      <c r="C784" t="s">
        <v>5789</v>
      </c>
      <c r="D784" t="s">
        <v>5805</v>
      </c>
      <c r="E784" t="s">
        <v>5806</v>
      </c>
      <c r="F784" t="s">
        <v>3547</v>
      </c>
      <c r="G784" t="s">
        <v>5807</v>
      </c>
    </row>
    <row r="785" spans="1:7" ht="11.25" customHeight="1">
      <c r="A785" t="s">
        <v>16</v>
      </c>
      <c r="B785" t="s">
        <v>5788</v>
      </c>
      <c r="C785" t="s">
        <v>5789</v>
      </c>
      <c r="D785" t="s">
        <v>5808</v>
      </c>
      <c r="E785" t="s">
        <v>5809</v>
      </c>
      <c r="F785" t="s">
        <v>3547</v>
      </c>
      <c r="G785" t="s">
        <v>5810</v>
      </c>
    </row>
    <row r="786" spans="1:7" ht="11.25" customHeight="1">
      <c r="A786" t="s">
        <v>16</v>
      </c>
      <c r="B786" t="s">
        <v>5788</v>
      </c>
      <c r="C786" t="s">
        <v>5789</v>
      </c>
      <c r="D786" t="s">
        <v>5811</v>
      </c>
      <c r="E786" t="s">
        <v>5812</v>
      </c>
      <c r="F786" t="s">
        <v>3547</v>
      </c>
      <c r="G786" t="s">
        <v>5813</v>
      </c>
    </row>
    <row r="787" spans="1:7" ht="11.25" customHeight="1">
      <c r="A787" t="s">
        <v>16</v>
      </c>
      <c r="B787" t="s">
        <v>5788</v>
      </c>
      <c r="C787" t="s">
        <v>5789</v>
      </c>
      <c r="D787" t="s">
        <v>5814</v>
      </c>
      <c r="E787" t="s">
        <v>5815</v>
      </c>
      <c r="F787" t="s">
        <v>3547</v>
      </c>
      <c r="G787" t="s">
        <v>5816</v>
      </c>
    </row>
    <row r="788" spans="1:7" ht="11.25" customHeight="1">
      <c r="A788" t="s">
        <v>16</v>
      </c>
      <c r="B788" t="s">
        <v>5788</v>
      </c>
      <c r="C788" t="s">
        <v>5789</v>
      </c>
      <c r="D788" t="s">
        <v>5817</v>
      </c>
      <c r="E788" t="s">
        <v>5818</v>
      </c>
      <c r="F788" t="s">
        <v>3547</v>
      </c>
      <c r="G788" t="s">
        <v>5819</v>
      </c>
    </row>
    <row r="789" spans="1:7" ht="11.25" customHeight="1">
      <c r="A789" t="s">
        <v>16</v>
      </c>
      <c r="B789" t="s">
        <v>5788</v>
      </c>
      <c r="C789" t="s">
        <v>5789</v>
      </c>
      <c r="D789" t="s">
        <v>5820</v>
      </c>
      <c r="E789" t="s">
        <v>5821</v>
      </c>
      <c r="F789" t="s">
        <v>3547</v>
      </c>
      <c r="G789" t="s">
        <v>5822</v>
      </c>
    </row>
    <row r="790" spans="1:7" ht="11.25" customHeight="1">
      <c r="A790" t="s">
        <v>16</v>
      </c>
      <c r="B790" t="s">
        <v>5788</v>
      </c>
      <c r="C790" t="s">
        <v>5789</v>
      </c>
      <c r="D790" t="s">
        <v>5823</v>
      </c>
      <c r="E790" t="s">
        <v>5824</v>
      </c>
      <c r="F790" t="s">
        <v>3547</v>
      </c>
      <c r="G790" t="s">
        <v>5825</v>
      </c>
    </row>
    <row r="791" spans="1:7" ht="11.25" customHeight="1">
      <c r="A791" t="s">
        <v>16</v>
      </c>
      <c r="B791" t="s">
        <v>5788</v>
      </c>
      <c r="C791" t="s">
        <v>5789</v>
      </c>
      <c r="D791" t="s">
        <v>5826</v>
      </c>
      <c r="E791" t="s">
        <v>5827</v>
      </c>
      <c r="F791" t="s">
        <v>3547</v>
      </c>
      <c r="G791" t="s">
        <v>5828</v>
      </c>
    </row>
    <row r="792" spans="1:7" ht="11.25" customHeight="1">
      <c r="A792" t="s">
        <v>16</v>
      </c>
      <c r="B792" t="s">
        <v>5788</v>
      </c>
      <c r="C792" t="s">
        <v>5789</v>
      </c>
      <c r="D792" t="s">
        <v>5788</v>
      </c>
      <c r="E792" t="s">
        <v>5789</v>
      </c>
      <c r="F792" t="s">
        <v>3544</v>
      </c>
      <c r="G792" t="s">
        <v>5829</v>
      </c>
    </row>
    <row r="793" spans="1:7" ht="11.25" customHeight="1">
      <c r="A793" t="s">
        <v>16</v>
      </c>
      <c r="B793" t="s">
        <v>5788</v>
      </c>
      <c r="C793" t="s">
        <v>5789</v>
      </c>
      <c r="D793" t="s">
        <v>5830</v>
      </c>
      <c r="E793" t="s">
        <v>5831</v>
      </c>
      <c r="F793" t="s">
        <v>3547</v>
      </c>
      <c r="G793" t="s">
        <v>5832</v>
      </c>
    </row>
    <row r="794" spans="1:7" ht="11.25" customHeight="1">
      <c r="A794" t="s">
        <v>16</v>
      </c>
      <c r="B794" t="s">
        <v>5788</v>
      </c>
      <c r="C794" t="s">
        <v>5789</v>
      </c>
      <c r="D794" t="s">
        <v>5833</v>
      </c>
      <c r="E794" t="s">
        <v>5834</v>
      </c>
      <c r="F794" t="s">
        <v>3547</v>
      </c>
      <c r="G794" t="s">
        <v>5835</v>
      </c>
    </row>
    <row r="795" spans="1:7" ht="11.25" customHeight="1">
      <c r="A795" t="s">
        <v>16</v>
      </c>
      <c r="B795" t="s">
        <v>5788</v>
      </c>
      <c r="C795" t="s">
        <v>5789</v>
      </c>
      <c r="D795" t="s">
        <v>5836</v>
      </c>
      <c r="E795" t="s">
        <v>5837</v>
      </c>
      <c r="F795" t="s">
        <v>3547</v>
      </c>
      <c r="G795" t="s">
        <v>5838</v>
      </c>
    </row>
    <row r="796" spans="1:7" ht="11.25" customHeight="1">
      <c r="A796" t="s">
        <v>16</v>
      </c>
      <c r="B796" t="s">
        <v>5788</v>
      </c>
      <c r="C796" t="s">
        <v>5789</v>
      </c>
      <c r="D796" t="s">
        <v>5839</v>
      </c>
      <c r="E796" t="s">
        <v>5840</v>
      </c>
      <c r="F796" t="s">
        <v>3547</v>
      </c>
      <c r="G796" t="s">
        <v>5841</v>
      </c>
    </row>
    <row r="797" spans="1:7" ht="11.25" customHeight="1">
      <c r="A797" t="s">
        <v>16</v>
      </c>
      <c r="B797" t="s">
        <v>5788</v>
      </c>
      <c r="C797" t="s">
        <v>5789</v>
      </c>
      <c r="D797" t="s">
        <v>5842</v>
      </c>
      <c r="E797" t="s">
        <v>5843</v>
      </c>
      <c r="F797" t="s">
        <v>3547</v>
      </c>
      <c r="G797" t="s">
        <v>5844</v>
      </c>
    </row>
    <row r="798" spans="1:7" ht="11.25" customHeight="1">
      <c r="A798" t="s">
        <v>16</v>
      </c>
      <c r="B798" t="s">
        <v>5788</v>
      </c>
      <c r="C798" t="s">
        <v>5789</v>
      </c>
      <c r="D798" t="s">
        <v>5845</v>
      </c>
      <c r="E798" t="s">
        <v>5846</v>
      </c>
      <c r="F798" t="s">
        <v>3547</v>
      </c>
      <c r="G798" t="s">
        <v>5847</v>
      </c>
    </row>
    <row r="799" spans="1:7" ht="11.25" customHeight="1">
      <c r="A799" t="s">
        <v>16</v>
      </c>
      <c r="B799" t="s">
        <v>5788</v>
      </c>
      <c r="C799" t="s">
        <v>5789</v>
      </c>
      <c r="D799" t="s">
        <v>5848</v>
      </c>
      <c r="E799" t="s">
        <v>5849</v>
      </c>
      <c r="F799" t="s">
        <v>3649</v>
      </c>
      <c r="G799" t="s">
        <v>5850</v>
      </c>
    </row>
    <row r="800" spans="1:7" ht="11.25" customHeight="1">
      <c r="A800" t="s">
        <v>16</v>
      </c>
      <c r="B800" t="s">
        <v>5851</v>
      </c>
      <c r="C800" t="s">
        <v>5852</v>
      </c>
      <c r="D800" t="s">
        <v>5853</v>
      </c>
      <c r="E800" t="s">
        <v>5854</v>
      </c>
      <c r="F800" t="s">
        <v>3547</v>
      </c>
      <c r="G800" t="s">
        <v>5855</v>
      </c>
    </row>
    <row r="801" spans="1:7" ht="11.25" customHeight="1">
      <c r="A801" t="s">
        <v>16</v>
      </c>
      <c r="B801" t="s">
        <v>5851</v>
      </c>
      <c r="C801" t="s">
        <v>5852</v>
      </c>
      <c r="D801" t="s">
        <v>4192</v>
      </c>
      <c r="E801" t="s">
        <v>5856</v>
      </c>
      <c r="F801" t="s">
        <v>3547</v>
      </c>
      <c r="G801" t="s">
        <v>5857</v>
      </c>
    </row>
    <row r="802" spans="1:7" ht="11.25" customHeight="1">
      <c r="A802" t="s">
        <v>16</v>
      </c>
      <c r="B802" t="s">
        <v>5851</v>
      </c>
      <c r="C802" t="s">
        <v>5852</v>
      </c>
      <c r="D802" t="s">
        <v>3922</v>
      </c>
      <c r="E802" t="s">
        <v>5858</v>
      </c>
      <c r="F802" t="s">
        <v>3547</v>
      </c>
      <c r="G802" t="s">
        <v>5859</v>
      </c>
    </row>
    <row r="803" spans="1:7" ht="11.25" customHeight="1">
      <c r="A803" t="s">
        <v>16</v>
      </c>
      <c r="B803" t="s">
        <v>5851</v>
      </c>
      <c r="C803" t="s">
        <v>5852</v>
      </c>
      <c r="D803" t="s">
        <v>5860</v>
      </c>
      <c r="E803" t="s">
        <v>5861</v>
      </c>
      <c r="F803" t="s">
        <v>3547</v>
      </c>
      <c r="G803" t="s">
        <v>5862</v>
      </c>
    </row>
    <row r="804" spans="1:7" ht="11.25" customHeight="1">
      <c r="A804" t="s">
        <v>16</v>
      </c>
      <c r="B804" t="s">
        <v>5851</v>
      </c>
      <c r="C804" t="s">
        <v>5852</v>
      </c>
      <c r="D804" t="s">
        <v>5863</v>
      </c>
      <c r="E804" t="s">
        <v>5864</v>
      </c>
      <c r="F804" t="s">
        <v>3547</v>
      </c>
      <c r="G804" t="s">
        <v>5865</v>
      </c>
    </row>
    <row r="805" spans="1:7" ht="11.25" customHeight="1">
      <c r="A805" t="s">
        <v>16</v>
      </c>
      <c r="B805" t="s">
        <v>5851</v>
      </c>
      <c r="C805" t="s">
        <v>5852</v>
      </c>
      <c r="D805" t="s">
        <v>5866</v>
      </c>
      <c r="E805" t="s">
        <v>5867</v>
      </c>
      <c r="F805" t="s">
        <v>3547</v>
      </c>
      <c r="G805" t="s">
        <v>5868</v>
      </c>
    </row>
    <row r="806" spans="1:7" ht="11.25" customHeight="1">
      <c r="A806" t="s">
        <v>16</v>
      </c>
      <c r="B806" t="s">
        <v>5851</v>
      </c>
      <c r="C806" t="s">
        <v>5852</v>
      </c>
      <c r="D806" t="s">
        <v>5869</v>
      </c>
      <c r="E806" t="s">
        <v>5870</v>
      </c>
      <c r="F806" t="s">
        <v>3547</v>
      </c>
      <c r="G806" t="s">
        <v>5871</v>
      </c>
    </row>
    <row r="807" spans="1:7" ht="11.25" customHeight="1">
      <c r="A807" t="s">
        <v>16</v>
      </c>
      <c r="B807" t="s">
        <v>5851</v>
      </c>
      <c r="C807" t="s">
        <v>5852</v>
      </c>
      <c r="D807" t="s">
        <v>5872</v>
      </c>
      <c r="E807" t="s">
        <v>5873</v>
      </c>
      <c r="F807" t="s">
        <v>3547</v>
      </c>
      <c r="G807" t="s">
        <v>5874</v>
      </c>
    </row>
    <row r="808" spans="1:7" ht="11.25" customHeight="1">
      <c r="A808" t="s">
        <v>16</v>
      </c>
      <c r="B808" t="s">
        <v>5851</v>
      </c>
      <c r="C808" t="s">
        <v>5852</v>
      </c>
      <c r="D808" t="s">
        <v>5875</v>
      </c>
      <c r="E808" t="s">
        <v>5876</v>
      </c>
      <c r="F808" t="s">
        <v>3547</v>
      </c>
      <c r="G808" t="s">
        <v>5877</v>
      </c>
    </row>
    <row r="809" spans="1:7" ht="11.25" customHeight="1">
      <c r="A809" t="s">
        <v>16</v>
      </c>
      <c r="B809" t="s">
        <v>5851</v>
      </c>
      <c r="C809" t="s">
        <v>5852</v>
      </c>
      <c r="D809" t="s">
        <v>5878</v>
      </c>
      <c r="E809" t="s">
        <v>5879</v>
      </c>
      <c r="F809" t="s">
        <v>3547</v>
      </c>
      <c r="G809" t="s">
        <v>5880</v>
      </c>
    </row>
    <row r="810" spans="1:7" ht="11.25" customHeight="1">
      <c r="A810" t="s">
        <v>16</v>
      </c>
      <c r="B810" t="s">
        <v>5851</v>
      </c>
      <c r="C810" t="s">
        <v>5852</v>
      </c>
      <c r="D810" t="s">
        <v>5881</v>
      </c>
      <c r="E810" t="s">
        <v>5882</v>
      </c>
      <c r="F810" t="s">
        <v>3547</v>
      </c>
      <c r="G810" t="s">
        <v>5883</v>
      </c>
    </row>
    <row r="811" spans="1:7" ht="11.25" customHeight="1">
      <c r="A811" t="s">
        <v>16</v>
      </c>
      <c r="B811" t="s">
        <v>5851</v>
      </c>
      <c r="C811" t="s">
        <v>5852</v>
      </c>
      <c r="D811" t="s">
        <v>5884</v>
      </c>
      <c r="E811" t="s">
        <v>5885</v>
      </c>
      <c r="F811" t="s">
        <v>3547</v>
      </c>
      <c r="G811" t="s">
        <v>5886</v>
      </c>
    </row>
    <row r="812" spans="1:7" ht="11.25" customHeight="1">
      <c r="A812" t="s">
        <v>16</v>
      </c>
      <c r="B812" t="s">
        <v>5851</v>
      </c>
      <c r="C812" t="s">
        <v>5852</v>
      </c>
      <c r="D812" t="s">
        <v>5887</v>
      </c>
      <c r="E812" t="s">
        <v>5888</v>
      </c>
      <c r="F812" t="s">
        <v>3547</v>
      </c>
      <c r="G812" t="s">
        <v>5889</v>
      </c>
    </row>
    <row r="813" spans="1:7" ht="11.25" customHeight="1">
      <c r="A813" t="s">
        <v>16</v>
      </c>
      <c r="B813" t="s">
        <v>5851</v>
      </c>
      <c r="C813" t="s">
        <v>5852</v>
      </c>
      <c r="D813" t="s">
        <v>5890</v>
      </c>
      <c r="E813" t="s">
        <v>5891</v>
      </c>
      <c r="F813" t="s">
        <v>3547</v>
      </c>
      <c r="G813" t="s">
        <v>5892</v>
      </c>
    </row>
    <row r="814" spans="1:7" ht="11.25" customHeight="1">
      <c r="A814" t="s">
        <v>16</v>
      </c>
      <c r="B814" t="s">
        <v>5851</v>
      </c>
      <c r="C814" t="s">
        <v>5852</v>
      </c>
      <c r="D814" t="s">
        <v>5893</v>
      </c>
      <c r="E814" t="s">
        <v>5894</v>
      </c>
      <c r="F814" t="s">
        <v>3547</v>
      </c>
      <c r="G814" t="s">
        <v>5895</v>
      </c>
    </row>
    <row r="815" spans="1:7" ht="11.25" customHeight="1">
      <c r="A815" t="s">
        <v>16</v>
      </c>
      <c r="B815" t="s">
        <v>5851</v>
      </c>
      <c r="C815" t="s">
        <v>5852</v>
      </c>
      <c r="D815" t="s">
        <v>5851</v>
      </c>
      <c r="E815" t="s">
        <v>5852</v>
      </c>
      <c r="F815" t="s">
        <v>3544</v>
      </c>
      <c r="G815" t="s">
        <v>5896</v>
      </c>
    </row>
    <row r="816" spans="1:7" ht="11.25" customHeight="1">
      <c r="A816" t="s">
        <v>16</v>
      </c>
      <c r="B816" t="s">
        <v>5851</v>
      </c>
      <c r="C816" t="s">
        <v>5852</v>
      </c>
      <c r="D816" t="s">
        <v>5897</v>
      </c>
      <c r="E816" t="s">
        <v>5898</v>
      </c>
      <c r="F816" t="s">
        <v>3547</v>
      </c>
      <c r="G816" t="s">
        <v>5899</v>
      </c>
    </row>
    <row r="817" spans="1:7" ht="11.25" customHeight="1">
      <c r="A817" t="s">
        <v>16</v>
      </c>
      <c r="B817" t="s">
        <v>5851</v>
      </c>
      <c r="C817" t="s">
        <v>5852</v>
      </c>
      <c r="D817" t="s">
        <v>5900</v>
      </c>
      <c r="E817" t="s">
        <v>5901</v>
      </c>
      <c r="F817" t="s">
        <v>3547</v>
      </c>
      <c r="G817" t="s">
        <v>5902</v>
      </c>
    </row>
    <row r="818" spans="1:7" ht="11.25" customHeight="1">
      <c r="A818" t="s">
        <v>16</v>
      </c>
      <c r="B818" t="s">
        <v>5851</v>
      </c>
      <c r="C818" t="s">
        <v>5852</v>
      </c>
      <c r="D818" t="s">
        <v>5903</v>
      </c>
      <c r="E818" t="s">
        <v>5904</v>
      </c>
      <c r="F818" t="s">
        <v>3547</v>
      </c>
      <c r="G818" t="s">
        <v>5905</v>
      </c>
    </row>
    <row r="819" spans="1:7" ht="11.25" customHeight="1">
      <c r="A819" t="s">
        <v>16</v>
      </c>
      <c r="B819" t="s">
        <v>5851</v>
      </c>
      <c r="C819" t="s">
        <v>5852</v>
      </c>
      <c r="D819" t="s">
        <v>5906</v>
      </c>
      <c r="E819" t="s">
        <v>5907</v>
      </c>
      <c r="F819" t="s">
        <v>3547</v>
      </c>
      <c r="G819" t="s">
        <v>5908</v>
      </c>
    </row>
    <row r="820" spans="1:7" ht="11.25" customHeight="1">
      <c r="A820" t="s">
        <v>16</v>
      </c>
      <c r="B820" t="s">
        <v>5851</v>
      </c>
      <c r="C820" t="s">
        <v>5852</v>
      </c>
      <c r="D820" t="s">
        <v>5909</v>
      </c>
      <c r="E820" t="s">
        <v>5910</v>
      </c>
      <c r="F820" t="s">
        <v>3547</v>
      </c>
      <c r="G820" t="s">
        <v>5911</v>
      </c>
    </row>
    <row r="821" spans="1:7" ht="11.25" customHeight="1">
      <c r="A821" t="s">
        <v>16</v>
      </c>
      <c r="B821" t="s">
        <v>5851</v>
      </c>
      <c r="C821" t="s">
        <v>5852</v>
      </c>
      <c r="D821" t="s">
        <v>5912</v>
      </c>
      <c r="E821" t="s">
        <v>5913</v>
      </c>
      <c r="F821" t="s">
        <v>3547</v>
      </c>
      <c r="G821" t="s">
        <v>5914</v>
      </c>
    </row>
    <row r="822" spans="1:7" ht="11.25" customHeight="1">
      <c r="A822" t="s">
        <v>16</v>
      </c>
      <c r="B822" t="s">
        <v>5851</v>
      </c>
      <c r="C822" t="s">
        <v>5852</v>
      </c>
      <c r="D822" t="s">
        <v>5915</v>
      </c>
      <c r="E822" t="s">
        <v>5916</v>
      </c>
      <c r="F822" t="s">
        <v>3547</v>
      </c>
      <c r="G822" t="s">
        <v>5917</v>
      </c>
    </row>
    <row r="823" spans="1:7" ht="11.25" customHeight="1">
      <c r="A823" t="s">
        <v>16</v>
      </c>
      <c r="B823" t="s">
        <v>5851</v>
      </c>
      <c r="C823" t="s">
        <v>5852</v>
      </c>
      <c r="D823" t="s">
        <v>5918</v>
      </c>
      <c r="E823" t="s">
        <v>5919</v>
      </c>
      <c r="F823" t="s">
        <v>3649</v>
      </c>
      <c r="G823" t="s">
        <v>5920</v>
      </c>
    </row>
    <row r="824" spans="1:7" ht="11.25" customHeight="1">
      <c r="A824" t="s">
        <v>16</v>
      </c>
      <c r="B824" t="s">
        <v>5921</v>
      </c>
      <c r="C824" t="s">
        <v>5922</v>
      </c>
      <c r="D824" t="s">
        <v>5923</v>
      </c>
      <c r="E824" t="s">
        <v>5924</v>
      </c>
      <c r="F824" t="s">
        <v>3547</v>
      </c>
      <c r="G824" t="s">
        <v>5925</v>
      </c>
    </row>
    <row r="825" spans="1:7" ht="11.25" customHeight="1">
      <c r="A825" t="s">
        <v>16</v>
      </c>
      <c r="B825" t="s">
        <v>5921</v>
      </c>
      <c r="C825" t="s">
        <v>5922</v>
      </c>
      <c r="D825" t="s">
        <v>5926</v>
      </c>
      <c r="E825" t="s">
        <v>5927</v>
      </c>
      <c r="F825" t="s">
        <v>3547</v>
      </c>
      <c r="G825" t="s">
        <v>5928</v>
      </c>
    </row>
    <row r="826" spans="1:7" ht="11.25" customHeight="1">
      <c r="A826" t="s">
        <v>16</v>
      </c>
      <c r="B826" t="s">
        <v>5921</v>
      </c>
      <c r="C826" t="s">
        <v>5922</v>
      </c>
      <c r="D826" t="s">
        <v>5929</v>
      </c>
      <c r="E826" t="s">
        <v>5930</v>
      </c>
      <c r="F826" t="s">
        <v>3547</v>
      </c>
      <c r="G826" t="s">
        <v>5931</v>
      </c>
    </row>
    <row r="827" spans="1:7" ht="11.25" customHeight="1">
      <c r="A827" t="s">
        <v>16</v>
      </c>
      <c r="B827" t="s">
        <v>5921</v>
      </c>
      <c r="C827" t="s">
        <v>5922</v>
      </c>
      <c r="D827" t="s">
        <v>5932</v>
      </c>
      <c r="E827" t="s">
        <v>5933</v>
      </c>
      <c r="F827" t="s">
        <v>3552</v>
      </c>
      <c r="G827" t="s">
        <v>5934</v>
      </c>
    </row>
    <row r="828" spans="1:7" ht="11.25" customHeight="1">
      <c r="A828" t="s">
        <v>16</v>
      </c>
      <c r="B828" t="s">
        <v>5921</v>
      </c>
      <c r="C828" t="s">
        <v>5922</v>
      </c>
      <c r="D828" t="s">
        <v>5935</v>
      </c>
      <c r="E828" t="s">
        <v>5936</v>
      </c>
      <c r="F828" t="s">
        <v>3547</v>
      </c>
      <c r="G828" t="s">
        <v>5937</v>
      </c>
    </row>
    <row r="829" spans="1:7" ht="11.25" customHeight="1">
      <c r="A829" t="s">
        <v>16</v>
      </c>
      <c r="B829" t="s">
        <v>5921</v>
      </c>
      <c r="C829" t="s">
        <v>5922</v>
      </c>
      <c r="D829" t="s">
        <v>5938</v>
      </c>
      <c r="E829" t="s">
        <v>5939</v>
      </c>
      <c r="F829" t="s">
        <v>3547</v>
      </c>
      <c r="G829" t="s">
        <v>5940</v>
      </c>
    </row>
    <row r="830" spans="1:7" ht="11.25" customHeight="1">
      <c r="A830" t="s">
        <v>16</v>
      </c>
      <c r="B830" t="s">
        <v>5921</v>
      </c>
      <c r="C830" t="s">
        <v>5922</v>
      </c>
      <c r="D830" t="s">
        <v>5941</v>
      </c>
      <c r="E830" t="s">
        <v>5942</v>
      </c>
      <c r="F830" t="s">
        <v>3547</v>
      </c>
      <c r="G830" t="s">
        <v>5943</v>
      </c>
    </row>
    <row r="831" spans="1:7" ht="11.25" customHeight="1">
      <c r="A831" t="s">
        <v>16</v>
      </c>
      <c r="B831" t="s">
        <v>5921</v>
      </c>
      <c r="C831" t="s">
        <v>5922</v>
      </c>
      <c r="D831" t="s">
        <v>5944</v>
      </c>
      <c r="E831" t="s">
        <v>5945</v>
      </c>
      <c r="F831" t="s">
        <v>3547</v>
      </c>
      <c r="G831" t="s">
        <v>5946</v>
      </c>
    </row>
    <row r="832" spans="1:7" ht="11.25" customHeight="1">
      <c r="A832" t="s">
        <v>16</v>
      </c>
      <c r="B832" t="s">
        <v>5921</v>
      </c>
      <c r="C832" t="s">
        <v>5922</v>
      </c>
      <c r="D832" t="s">
        <v>5947</v>
      </c>
      <c r="E832" t="s">
        <v>5948</v>
      </c>
      <c r="F832" t="s">
        <v>3547</v>
      </c>
      <c r="G832" t="s">
        <v>5949</v>
      </c>
    </row>
    <row r="833" spans="1:7" ht="11.25" customHeight="1">
      <c r="A833" t="s">
        <v>16</v>
      </c>
      <c r="B833" t="s">
        <v>5921</v>
      </c>
      <c r="C833" t="s">
        <v>5922</v>
      </c>
      <c r="D833" t="s">
        <v>4473</v>
      </c>
      <c r="E833" t="s">
        <v>5950</v>
      </c>
      <c r="F833" t="s">
        <v>3547</v>
      </c>
      <c r="G833" t="s">
        <v>5951</v>
      </c>
    </row>
    <row r="834" spans="1:7" ht="11.25" customHeight="1">
      <c r="A834" t="s">
        <v>16</v>
      </c>
      <c r="B834" t="s">
        <v>5921</v>
      </c>
      <c r="C834" t="s">
        <v>5922</v>
      </c>
      <c r="D834" t="s">
        <v>5089</v>
      </c>
      <c r="E834" t="s">
        <v>5952</v>
      </c>
      <c r="F834" t="s">
        <v>3547</v>
      </c>
      <c r="G834" t="s">
        <v>5953</v>
      </c>
    </row>
    <row r="835" spans="1:7" ht="11.25" customHeight="1">
      <c r="A835" t="s">
        <v>16</v>
      </c>
      <c r="B835" t="s">
        <v>5921</v>
      </c>
      <c r="C835" t="s">
        <v>5922</v>
      </c>
      <c r="D835" t="s">
        <v>5757</v>
      </c>
      <c r="E835" t="s">
        <v>5954</v>
      </c>
      <c r="F835" t="s">
        <v>3547</v>
      </c>
      <c r="G835" t="s">
        <v>5955</v>
      </c>
    </row>
    <row r="836" spans="1:7" ht="11.25" customHeight="1">
      <c r="A836" t="s">
        <v>16</v>
      </c>
      <c r="B836" t="s">
        <v>5921</v>
      </c>
      <c r="C836" t="s">
        <v>5922</v>
      </c>
      <c r="D836" t="s">
        <v>5956</v>
      </c>
      <c r="E836" t="s">
        <v>5957</v>
      </c>
      <c r="F836" t="s">
        <v>3547</v>
      </c>
      <c r="G836" t="s">
        <v>5958</v>
      </c>
    </row>
    <row r="837" spans="1:7" ht="11.25" customHeight="1">
      <c r="A837" t="s">
        <v>16</v>
      </c>
      <c r="B837" t="s">
        <v>5921</v>
      </c>
      <c r="C837" t="s">
        <v>5922</v>
      </c>
      <c r="D837" t="s">
        <v>5921</v>
      </c>
      <c r="E837" t="s">
        <v>5922</v>
      </c>
      <c r="F837" t="s">
        <v>3544</v>
      </c>
      <c r="G837" t="s">
        <v>5959</v>
      </c>
    </row>
    <row r="838" spans="1:7" ht="11.25" customHeight="1">
      <c r="A838" t="s">
        <v>16</v>
      </c>
      <c r="B838" t="s">
        <v>5921</v>
      </c>
      <c r="C838" t="s">
        <v>5922</v>
      </c>
      <c r="D838" t="s">
        <v>5960</v>
      </c>
      <c r="E838" t="s">
        <v>5961</v>
      </c>
      <c r="F838" t="s">
        <v>3547</v>
      </c>
      <c r="G838" t="s">
        <v>5962</v>
      </c>
    </row>
    <row r="839" spans="1:7" ht="11.25" customHeight="1">
      <c r="A839" t="s">
        <v>16</v>
      </c>
      <c r="B839" t="s">
        <v>5921</v>
      </c>
      <c r="C839" t="s">
        <v>5922</v>
      </c>
      <c r="D839" t="s">
        <v>5963</v>
      </c>
      <c r="E839" t="s">
        <v>5964</v>
      </c>
      <c r="F839" t="s">
        <v>3547</v>
      </c>
      <c r="G839" t="s">
        <v>5965</v>
      </c>
    </row>
    <row r="840" spans="1:7" ht="11.25" customHeight="1">
      <c r="A840" t="s">
        <v>16</v>
      </c>
      <c r="B840" t="s">
        <v>5921</v>
      </c>
      <c r="C840" t="s">
        <v>5922</v>
      </c>
      <c r="D840" t="s">
        <v>5966</v>
      </c>
      <c r="E840" t="s">
        <v>5967</v>
      </c>
      <c r="F840" t="s">
        <v>3547</v>
      </c>
      <c r="G840" t="s">
        <v>5968</v>
      </c>
    </row>
    <row r="841" spans="1:7" ht="11.25" customHeight="1">
      <c r="A841" t="s">
        <v>16</v>
      </c>
      <c r="B841" t="s">
        <v>5921</v>
      </c>
      <c r="C841" t="s">
        <v>5922</v>
      </c>
      <c r="D841" t="s">
        <v>5969</v>
      </c>
      <c r="E841" t="s">
        <v>5970</v>
      </c>
      <c r="F841" t="s">
        <v>3547</v>
      </c>
      <c r="G841" t="s">
        <v>5971</v>
      </c>
    </row>
    <row r="842" spans="1:7" ht="11.25" customHeight="1">
      <c r="A842" t="s">
        <v>16</v>
      </c>
      <c r="B842" t="s">
        <v>5972</v>
      </c>
      <c r="C842" t="s">
        <v>5973</v>
      </c>
      <c r="D842" t="s">
        <v>5974</v>
      </c>
      <c r="E842" t="s">
        <v>5975</v>
      </c>
      <c r="F842" t="s">
        <v>3547</v>
      </c>
      <c r="G842" t="s">
        <v>5976</v>
      </c>
    </row>
    <row r="843" spans="1:7" ht="11.25" customHeight="1">
      <c r="A843" t="s">
        <v>16</v>
      </c>
      <c r="B843" t="s">
        <v>5972</v>
      </c>
      <c r="C843" t="s">
        <v>5973</v>
      </c>
      <c r="D843" t="s">
        <v>5977</v>
      </c>
      <c r="E843" t="s">
        <v>5978</v>
      </c>
      <c r="F843" t="s">
        <v>3547</v>
      </c>
      <c r="G843" t="s">
        <v>5979</v>
      </c>
    </row>
    <row r="844" spans="1:7" ht="11.25" customHeight="1">
      <c r="A844" t="s">
        <v>16</v>
      </c>
      <c r="B844" t="s">
        <v>5972</v>
      </c>
      <c r="C844" t="s">
        <v>5973</v>
      </c>
      <c r="D844" t="s">
        <v>4034</v>
      </c>
      <c r="E844" t="s">
        <v>5980</v>
      </c>
      <c r="F844" t="s">
        <v>3547</v>
      </c>
      <c r="G844" t="s">
        <v>5981</v>
      </c>
    </row>
    <row r="845" spans="1:7" ht="11.25" customHeight="1">
      <c r="A845" t="s">
        <v>16</v>
      </c>
      <c r="B845" t="s">
        <v>5972</v>
      </c>
      <c r="C845" t="s">
        <v>5973</v>
      </c>
      <c r="D845" t="s">
        <v>5982</v>
      </c>
      <c r="E845" t="s">
        <v>5983</v>
      </c>
      <c r="F845" t="s">
        <v>3547</v>
      </c>
      <c r="G845" t="s">
        <v>5984</v>
      </c>
    </row>
    <row r="846" spans="1:7" ht="11.25" customHeight="1">
      <c r="A846" t="s">
        <v>16</v>
      </c>
      <c r="B846" t="s">
        <v>5972</v>
      </c>
      <c r="C846" t="s">
        <v>5973</v>
      </c>
      <c r="D846" t="s">
        <v>5985</v>
      </c>
      <c r="E846" t="s">
        <v>5986</v>
      </c>
      <c r="F846" t="s">
        <v>3547</v>
      </c>
      <c r="G846" t="s">
        <v>5987</v>
      </c>
    </row>
    <row r="847" spans="1:7" ht="11.25" customHeight="1">
      <c r="A847" t="s">
        <v>16</v>
      </c>
      <c r="B847" t="s">
        <v>5972</v>
      </c>
      <c r="C847" t="s">
        <v>5973</v>
      </c>
      <c r="D847" t="s">
        <v>5988</v>
      </c>
      <c r="E847" t="s">
        <v>5989</v>
      </c>
      <c r="F847" t="s">
        <v>3547</v>
      </c>
      <c r="G847" t="s">
        <v>5990</v>
      </c>
    </row>
    <row r="848" spans="1:7" ht="11.25" customHeight="1">
      <c r="A848" t="s">
        <v>16</v>
      </c>
      <c r="B848" t="s">
        <v>5972</v>
      </c>
      <c r="C848" t="s">
        <v>5973</v>
      </c>
      <c r="D848" t="s">
        <v>5991</v>
      </c>
      <c r="E848" t="s">
        <v>5992</v>
      </c>
      <c r="F848" t="s">
        <v>3547</v>
      </c>
      <c r="G848" t="s">
        <v>5993</v>
      </c>
    </row>
    <row r="849" spans="1:7" ht="11.25" customHeight="1">
      <c r="A849" t="s">
        <v>16</v>
      </c>
      <c r="B849" t="s">
        <v>5972</v>
      </c>
      <c r="C849" t="s">
        <v>5973</v>
      </c>
      <c r="D849" t="s">
        <v>5994</v>
      </c>
      <c r="E849" t="s">
        <v>5995</v>
      </c>
      <c r="F849" t="s">
        <v>3547</v>
      </c>
      <c r="G849" t="s">
        <v>5996</v>
      </c>
    </row>
    <row r="850" spans="1:7" ht="11.25" customHeight="1">
      <c r="A850" t="s">
        <v>16</v>
      </c>
      <c r="B850" t="s">
        <v>5972</v>
      </c>
      <c r="C850" t="s">
        <v>5973</v>
      </c>
      <c r="D850" t="s">
        <v>5997</v>
      </c>
      <c r="E850" t="s">
        <v>5998</v>
      </c>
      <c r="F850" t="s">
        <v>3547</v>
      </c>
      <c r="G850" t="s">
        <v>5999</v>
      </c>
    </row>
    <row r="851" spans="1:7" ht="11.25" customHeight="1">
      <c r="A851" t="s">
        <v>16</v>
      </c>
      <c r="B851" t="s">
        <v>5972</v>
      </c>
      <c r="C851" t="s">
        <v>5973</v>
      </c>
      <c r="D851" t="s">
        <v>6000</v>
      </c>
      <c r="E851" t="s">
        <v>6001</v>
      </c>
      <c r="F851" t="s">
        <v>3552</v>
      </c>
      <c r="G851" t="s">
        <v>6002</v>
      </c>
    </row>
    <row r="852" spans="1:7" ht="11.25" customHeight="1">
      <c r="A852" t="s">
        <v>16</v>
      </c>
      <c r="B852" t="s">
        <v>5972</v>
      </c>
      <c r="C852" t="s">
        <v>5973</v>
      </c>
      <c r="D852" t="s">
        <v>6003</v>
      </c>
      <c r="E852" t="s">
        <v>6004</v>
      </c>
      <c r="F852" t="s">
        <v>3547</v>
      </c>
      <c r="G852" t="s">
        <v>6005</v>
      </c>
    </row>
    <row r="853" spans="1:7" ht="11.25" customHeight="1">
      <c r="A853" t="s">
        <v>16</v>
      </c>
      <c r="B853" t="s">
        <v>5972</v>
      </c>
      <c r="C853" t="s">
        <v>5973</v>
      </c>
      <c r="D853" t="s">
        <v>6006</v>
      </c>
      <c r="E853" t="s">
        <v>6007</v>
      </c>
      <c r="F853" t="s">
        <v>3547</v>
      </c>
      <c r="G853" t="s">
        <v>6008</v>
      </c>
    </row>
    <row r="854" spans="1:7" ht="11.25" customHeight="1">
      <c r="A854" t="s">
        <v>16</v>
      </c>
      <c r="B854" t="s">
        <v>5972</v>
      </c>
      <c r="C854" t="s">
        <v>5973</v>
      </c>
      <c r="D854" t="s">
        <v>6009</v>
      </c>
      <c r="E854" t="s">
        <v>6010</v>
      </c>
      <c r="F854" t="s">
        <v>3547</v>
      </c>
      <c r="G854" t="s">
        <v>6011</v>
      </c>
    </row>
    <row r="855" spans="1:7" ht="11.25" customHeight="1">
      <c r="A855" t="s">
        <v>16</v>
      </c>
      <c r="B855" t="s">
        <v>5972</v>
      </c>
      <c r="C855" t="s">
        <v>5973</v>
      </c>
      <c r="D855" t="s">
        <v>6012</v>
      </c>
      <c r="E855" t="s">
        <v>6013</v>
      </c>
      <c r="F855" t="s">
        <v>3547</v>
      </c>
      <c r="G855" t="s">
        <v>6014</v>
      </c>
    </row>
    <row r="856" spans="1:7" ht="11.25" customHeight="1">
      <c r="A856" t="s">
        <v>16</v>
      </c>
      <c r="B856" t="s">
        <v>5972</v>
      </c>
      <c r="C856" t="s">
        <v>5973</v>
      </c>
      <c r="D856" t="s">
        <v>6015</v>
      </c>
      <c r="E856" t="s">
        <v>6016</v>
      </c>
      <c r="F856" t="s">
        <v>3547</v>
      </c>
      <c r="G856" t="s">
        <v>6017</v>
      </c>
    </row>
    <row r="857" spans="1:7" ht="11.25" customHeight="1">
      <c r="A857" t="s">
        <v>16</v>
      </c>
      <c r="B857" t="s">
        <v>5972</v>
      </c>
      <c r="C857" t="s">
        <v>5973</v>
      </c>
      <c r="D857" t="s">
        <v>6018</v>
      </c>
      <c r="E857" t="s">
        <v>6019</v>
      </c>
      <c r="F857" t="s">
        <v>3547</v>
      </c>
      <c r="G857" t="s">
        <v>6020</v>
      </c>
    </row>
    <row r="858" spans="1:7" ht="11.25" customHeight="1">
      <c r="A858" t="s">
        <v>16</v>
      </c>
      <c r="B858" t="s">
        <v>5972</v>
      </c>
      <c r="C858" t="s">
        <v>5973</v>
      </c>
      <c r="D858" t="s">
        <v>6021</v>
      </c>
      <c r="E858" t="s">
        <v>6022</v>
      </c>
      <c r="F858" t="s">
        <v>3547</v>
      </c>
      <c r="G858" t="s">
        <v>6023</v>
      </c>
    </row>
    <row r="859" spans="1:7" ht="11.25" customHeight="1">
      <c r="A859" t="s">
        <v>16</v>
      </c>
      <c r="B859" t="s">
        <v>5972</v>
      </c>
      <c r="C859" t="s">
        <v>5973</v>
      </c>
      <c r="D859" t="s">
        <v>5086</v>
      </c>
      <c r="E859" t="s">
        <v>6024</v>
      </c>
      <c r="F859" t="s">
        <v>3547</v>
      </c>
      <c r="G859" t="s">
        <v>6025</v>
      </c>
    </row>
    <row r="860" spans="1:7" ht="11.25" customHeight="1">
      <c r="A860" t="s">
        <v>16</v>
      </c>
      <c r="B860" t="s">
        <v>5972</v>
      </c>
      <c r="C860" t="s">
        <v>5973</v>
      </c>
      <c r="D860" t="s">
        <v>6026</v>
      </c>
      <c r="E860" t="s">
        <v>6027</v>
      </c>
      <c r="F860" t="s">
        <v>3547</v>
      </c>
      <c r="G860" t="s">
        <v>6028</v>
      </c>
    </row>
    <row r="861" spans="1:7" ht="11.25" customHeight="1">
      <c r="A861" t="s">
        <v>16</v>
      </c>
      <c r="B861" t="s">
        <v>5972</v>
      </c>
      <c r="C861" t="s">
        <v>5973</v>
      </c>
      <c r="D861" t="s">
        <v>5972</v>
      </c>
      <c r="E861" t="s">
        <v>5973</v>
      </c>
      <c r="F861" t="s">
        <v>3544</v>
      </c>
      <c r="G861" t="s">
        <v>6029</v>
      </c>
    </row>
    <row r="862" spans="1:7" ht="11.25" customHeight="1">
      <c r="A862" t="s">
        <v>16</v>
      </c>
      <c r="B862" t="s">
        <v>5972</v>
      </c>
      <c r="C862" t="s">
        <v>5973</v>
      </c>
      <c r="D862" t="s">
        <v>6030</v>
      </c>
      <c r="E862" t="s">
        <v>6031</v>
      </c>
      <c r="F862" t="s">
        <v>3547</v>
      </c>
      <c r="G862" t="s">
        <v>6032</v>
      </c>
    </row>
    <row r="863" spans="1:7" ht="11.25" customHeight="1">
      <c r="A863" t="s">
        <v>16</v>
      </c>
      <c r="B863" t="s">
        <v>5972</v>
      </c>
      <c r="C863" t="s">
        <v>5973</v>
      </c>
      <c r="D863" t="s">
        <v>4889</v>
      </c>
      <c r="E863" t="s">
        <v>6033</v>
      </c>
      <c r="F863" t="s">
        <v>3547</v>
      </c>
      <c r="G863" t="s">
        <v>6034</v>
      </c>
    </row>
    <row r="864" spans="1:7" ht="11.25" customHeight="1">
      <c r="A864" t="s">
        <v>16</v>
      </c>
      <c r="B864" t="s">
        <v>6035</v>
      </c>
      <c r="C864" t="s">
        <v>6036</v>
      </c>
      <c r="D864" t="s">
        <v>6037</v>
      </c>
      <c r="E864" t="s">
        <v>6038</v>
      </c>
      <c r="F864" t="s">
        <v>3547</v>
      </c>
      <c r="G864" t="s">
        <v>6039</v>
      </c>
    </row>
    <row r="865" spans="1:7" ht="11.25" customHeight="1">
      <c r="A865" t="s">
        <v>16</v>
      </c>
      <c r="B865" t="s">
        <v>6035</v>
      </c>
      <c r="C865" t="s">
        <v>6036</v>
      </c>
      <c r="D865" t="s">
        <v>6040</v>
      </c>
      <c r="E865" t="s">
        <v>6041</v>
      </c>
      <c r="F865" t="s">
        <v>3547</v>
      </c>
      <c r="G865" t="s">
        <v>6042</v>
      </c>
    </row>
    <row r="866" spans="1:7" ht="11.25" customHeight="1">
      <c r="A866" t="s">
        <v>16</v>
      </c>
      <c r="B866" t="s">
        <v>6035</v>
      </c>
      <c r="C866" t="s">
        <v>6036</v>
      </c>
      <c r="D866" t="s">
        <v>6043</v>
      </c>
      <c r="E866" t="s">
        <v>6044</v>
      </c>
      <c r="F866" t="s">
        <v>3547</v>
      </c>
      <c r="G866" t="s">
        <v>6045</v>
      </c>
    </row>
    <row r="867" spans="1:7" ht="11.25" customHeight="1">
      <c r="A867" t="s">
        <v>16</v>
      </c>
      <c r="B867" t="s">
        <v>6035</v>
      </c>
      <c r="C867" t="s">
        <v>6036</v>
      </c>
      <c r="D867" t="s">
        <v>6046</v>
      </c>
      <c r="E867" t="s">
        <v>6047</v>
      </c>
      <c r="F867" t="s">
        <v>3547</v>
      </c>
      <c r="G867" t="s">
        <v>6048</v>
      </c>
    </row>
    <row r="868" spans="1:7" ht="11.25" customHeight="1">
      <c r="A868" t="s">
        <v>16</v>
      </c>
      <c r="B868" t="s">
        <v>6035</v>
      </c>
      <c r="C868" t="s">
        <v>6036</v>
      </c>
      <c r="D868" t="s">
        <v>6049</v>
      </c>
      <c r="E868" t="s">
        <v>6050</v>
      </c>
      <c r="F868" t="s">
        <v>3547</v>
      </c>
      <c r="G868" t="s">
        <v>6051</v>
      </c>
    </row>
    <row r="869" spans="1:7" ht="11.25" customHeight="1">
      <c r="A869" t="s">
        <v>16</v>
      </c>
      <c r="B869" t="s">
        <v>6035</v>
      </c>
      <c r="C869" t="s">
        <v>6036</v>
      </c>
      <c r="D869" t="s">
        <v>6052</v>
      </c>
      <c r="E869" t="s">
        <v>6053</v>
      </c>
      <c r="F869" t="s">
        <v>3547</v>
      </c>
      <c r="G869" t="s">
        <v>6054</v>
      </c>
    </row>
    <row r="870" spans="1:7" ht="11.25" customHeight="1">
      <c r="A870" t="s">
        <v>16</v>
      </c>
      <c r="B870" t="s">
        <v>6035</v>
      </c>
      <c r="C870" t="s">
        <v>6036</v>
      </c>
      <c r="D870" t="s">
        <v>6055</v>
      </c>
      <c r="E870" t="s">
        <v>6056</v>
      </c>
      <c r="F870" t="s">
        <v>3547</v>
      </c>
      <c r="G870" t="s">
        <v>6057</v>
      </c>
    </row>
    <row r="871" spans="1:7" ht="11.25" customHeight="1">
      <c r="A871" t="s">
        <v>16</v>
      </c>
      <c r="B871" t="s">
        <v>6035</v>
      </c>
      <c r="C871" t="s">
        <v>6036</v>
      </c>
      <c r="D871" t="s">
        <v>6058</v>
      </c>
      <c r="E871" t="s">
        <v>6059</v>
      </c>
      <c r="F871" t="s">
        <v>3547</v>
      </c>
      <c r="G871" t="s">
        <v>6060</v>
      </c>
    </row>
    <row r="872" spans="1:7" ht="11.25" customHeight="1">
      <c r="A872" t="s">
        <v>16</v>
      </c>
      <c r="B872" t="s">
        <v>6035</v>
      </c>
      <c r="C872" t="s">
        <v>6036</v>
      </c>
      <c r="D872" t="s">
        <v>6061</v>
      </c>
      <c r="E872" t="s">
        <v>6062</v>
      </c>
      <c r="F872" t="s">
        <v>3547</v>
      </c>
      <c r="G872" t="s">
        <v>6063</v>
      </c>
    </row>
    <row r="873" spans="1:7" ht="11.25" customHeight="1">
      <c r="A873" t="s">
        <v>16</v>
      </c>
      <c r="B873" t="s">
        <v>6035</v>
      </c>
      <c r="C873" t="s">
        <v>6036</v>
      </c>
      <c r="D873" t="s">
        <v>6064</v>
      </c>
      <c r="E873" t="s">
        <v>6065</v>
      </c>
      <c r="F873" t="s">
        <v>3547</v>
      </c>
      <c r="G873" t="s">
        <v>6066</v>
      </c>
    </row>
    <row r="874" spans="1:7" ht="11.25" customHeight="1">
      <c r="A874" t="s">
        <v>16</v>
      </c>
      <c r="B874" t="s">
        <v>6035</v>
      </c>
      <c r="C874" t="s">
        <v>6036</v>
      </c>
      <c r="D874" t="s">
        <v>6067</v>
      </c>
      <c r="E874" t="s">
        <v>6068</v>
      </c>
      <c r="F874" t="s">
        <v>3547</v>
      </c>
      <c r="G874" t="s">
        <v>6069</v>
      </c>
    </row>
    <row r="875" spans="1:7" ht="11.25" customHeight="1">
      <c r="A875" t="s">
        <v>16</v>
      </c>
      <c r="B875" t="s">
        <v>6035</v>
      </c>
      <c r="C875" t="s">
        <v>6036</v>
      </c>
      <c r="D875" t="s">
        <v>6070</v>
      </c>
      <c r="E875" t="s">
        <v>6071</v>
      </c>
      <c r="F875" t="s">
        <v>3547</v>
      </c>
      <c r="G875" t="s">
        <v>6072</v>
      </c>
    </row>
    <row r="876" spans="1:7" ht="11.25" customHeight="1">
      <c r="A876" t="s">
        <v>16</v>
      </c>
      <c r="B876" t="s">
        <v>6035</v>
      </c>
      <c r="C876" t="s">
        <v>6036</v>
      </c>
      <c r="D876" t="s">
        <v>6073</v>
      </c>
      <c r="E876" t="s">
        <v>6074</v>
      </c>
      <c r="F876" t="s">
        <v>3547</v>
      </c>
      <c r="G876" t="s">
        <v>6075</v>
      </c>
    </row>
    <row r="877" spans="1:7" ht="11.25" customHeight="1">
      <c r="A877" t="s">
        <v>16</v>
      </c>
      <c r="B877" t="s">
        <v>6035</v>
      </c>
      <c r="C877" t="s">
        <v>6036</v>
      </c>
      <c r="D877" t="s">
        <v>6076</v>
      </c>
      <c r="E877" t="s">
        <v>6077</v>
      </c>
      <c r="F877" t="s">
        <v>3547</v>
      </c>
      <c r="G877" t="s">
        <v>6078</v>
      </c>
    </row>
    <row r="878" spans="1:7" ht="11.25" customHeight="1">
      <c r="A878" t="s">
        <v>16</v>
      </c>
      <c r="B878" t="s">
        <v>6035</v>
      </c>
      <c r="C878" t="s">
        <v>6036</v>
      </c>
      <c r="D878" t="s">
        <v>6079</v>
      </c>
      <c r="E878" t="s">
        <v>6080</v>
      </c>
      <c r="F878" t="s">
        <v>3547</v>
      </c>
      <c r="G878" t="s">
        <v>6081</v>
      </c>
    </row>
    <row r="879" spans="1:7" ht="11.25" customHeight="1">
      <c r="A879" t="s">
        <v>16</v>
      </c>
      <c r="B879" t="s">
        <v>6035</v>
      </c>
      <c r="C879" t="s">
        <v>6036</v>
      </c>
      <c r="D879" t="s">
        <v>6082</v>
      </c>
      <c r="E879" t="s">
        <v>6083</v>
      </c>
      <c r="F879" t="s">
        <v>3547</v>
      </c>
      <c r="G879" t="s">
        <v>6084</v>
      </c>
    </row>
    <row r="880" spans="1:7" ht="11.25" customHeight="1">
      <c r="A880" t="s">
        <v>16</v>
      </c>
      <c r="B880" t="s">
        <v>6035</v>
      </c>
      <c r="C880" t="s">
        <v>6036</v>
      </c>
      <c r="D880" t="s">
        <v>3998</v>
      </c>
      <c r="E880" t="s">
        <v>6085</v>
      </c>
      <c r="F880" t="s">
        <v>3547</v>
      </c>
      <c r="G880" t="s">
        <v>6086</v>
      </c>
    </row>
    <row r="881" spans="1:7" ht="11.25" customHeight="1">
      <c r="A881" t="s">
        <v>16</v>
      </c>
      <c r="B881" t="s">
        <v>6035</v>
      </c>
      <c r="C881" t="s">
        <v>6036</v>
      </c>
      <c r="D881" t="s">
        <v>6087</v>
      </c>
      <c r="E881" t="s">
        <v>6088</v>
      </c>
      <c r="F881" t="s">
        <v>3547</v>
      </c>
      <c r="G881" t="s">
        <v>6089</v>
      </c>
    </row>
    <row r="882" spans="1:7" ht="11.25" customHeight="1">
      <c r="A882" t="s">
        <v>16</v>
      </c>
      <c r="B882" t="s">
        <v>6035</v>
      </c>
      <c r="C882" t="s">
        <v>6036</v>
      </c>
      <c r="D882" t="s">
        <v>6090</v>
      </c>
      <c r="E882" t="s">
        <v>6091</v>
      </c>
      <c r="F882" t="s">
        <v>3547</v>
      </c>
      <c r="G882" t="s">
        <v>6092</v>
      </c>
    </row>
    <row r="883" spans="1:7" ht="11.25" customHeight="1">
      <c r="A883" t="s">
        <v>16</v>
      </c>
      <c r="B883" t="s">
        <v>6035</v>
      </c>
      <c r="C883" t="s">
        <v>6036</v>
      </c>
      <c r="D883" t="s">
        <v>6093</v>
      </c>
      <c r="E883" t="s">
        <v>6094</v>
      </c>
      <c r="F883" t="s">
        <v>3547</v>
      </c>
      <c r="G883" t="s">
        <v>6095</v>
      </c>
    </row>
    <row r="884" spans="1:7" ht="11.25" customHeight="1">
      <c r="A884" t="s">
        <v>16</v>
      </c>
      <c r="B884" t="s">
        <v>6035</v>
      </c>
      <c r="C884" t="s">
        <v>6036</v>
      </c>
      <c r="D884" t="s">
        <v>6096</v>
      </c>
      <c r="E884" t="s">
        <v>6097</v>
      </c>
      <c r="F884" t="s">
        <v>3547</v>
      </c>
      <c r="G884" t="s">
        <v>6098</v>
      </c>
    </row>
    <row r="885" spans="1:7" ht="11.25" customHeight="1">
      <c r="A885" t="s">
        <v>16</v>
      </c>
      <c r="B885" t="s">
        <v>6035</v>
      </c>
      <c r="C885" t="s">
        <v>6036</v>
      </c>
      <c r="D885" t="s">
        <v>6035</v>
      </c>
      <c r="E885" t="s">
        <v>6036</v>
      </c>
      <c r="F885" t="s">
        <v>3544</v>
      </c>
      <c r="G885" t="s">
        <v>6099</v>
      </c>
    </row>
    <row r="886" spans="1:7" ht="11.25" customHeight="1">
      <c r="A886" t="s">
        <v>16</v>
      </c>
      <c r="B886" t="s">
        <v>6035</v>
      </c>
      <c r="C886" t="s">
        <v>6036</v>
      </c>
      <c r="D886" t="s">
        <v>6100</v>
      </c>
      <c r="E886" t="s">
        <v>6101</v>
      </c>
      <c r="F886" t="s">
        <v>3547</v>
      </c>
      <c r="G886" t="s">
        <v>6102</v>
      </c>
    </row>
    <row r="887" spans="1:7" ht="11.25" customHeight="1">
      <c r="A887" t="s">
        <v>16</v>
      </c>
      <c r="B887" t="s">
        <v>6035</v>
      </c>
      <c r="C887" t="s">
        <v>6036</v>
      </c>
      <c r="D887" t="s">
        <v>6103</v>
      </c>
      <c r="E887" t="s">
        <v>6104</v>
      </c>
      <c r="F887" t="s">
        <v>3547</v>
      </c>
      <c r="G887" t="s">
        <v>6105</v>
      </c>
    </row>
    <row r="888" spans="1:7" ht="11.25" customHeight="1">
      <c r="A888" t="s">
        <v>16</v>
      </c>
      <c r="B888" t="s">
        <v>6106</v>
      </c>
      <c r="C888" t="s">
        <v>6107</v>
      </c>
      <c r="D888" t="s">
        <v>6108</v>
      </c>
      <c r="E888" t="s">
        <v>6109</v>
      </c>
      <c r="F888" t="s">
        <v>3547</v>
      </c>
      <c r="G888" t="s">
        <v>6110</v>
      </c>
    </row>
    <row r="889" spans="1:7" ht="11.25" customHeight="1">
      <c r="A889" t="s">
        <v>16</v>
      </c>
      <c r="B889" t="s">
        <v>6106</v>
      </c>
      <c r="C889" t="s">
        <v>6107</v>
      </c>
      <c r="D889" t="s">
        <v>6111</v>
      </c>
      <c r="E889" t="s">
        <v>6112</v>
      </c>
      <c r="F889" t="s">
        <v>3547</v>
      </c>
      <c r="G889" t="s">
        <v>6113</v>
      </c>
    </row>
    <row r="890" spans="1:7" ht="11.25" customHeight="1">
      <c r="A890" t="s">
        <v>16</v>
      </c>
      <c r="B890" t="s">
        <v>6106</v>
      </c>
      <c r="C890" t="s">
        <v>6107</v>
      </c>
      <c r="D890" t="s">
        <v>6114</v>
      </c>
      <c r="E890" t="s">
        <v>6115</v>
      </c>
      <c r="F890" t="s">
        <v>3547</v>
      </c>
      <c r="G890" t="s">
        <v>6116</v>
      </c>
    </row>
    <row r="891" spans="1:7" ht="11.25" customHeight="1">
      <c r="A891" t="s">
        <v>16</v>
      </c>
      <c r="B891" t="s">
        <v>6106</v>
      </c>
      <c r="C891" t="s">
        <v>6107</v>
      </c>
      <c r="D891" t="s">
        <v>6117</v>
      </c>
      <c r="E891" t="s">
        <v>6118</v>
      </c>
      <c r="F891" t="s">
        <v>3547</v>
      </c>
      <c r="G891" t="s">
        <v>6119</v>
      </c>
    </row>
    <row r="892" spans="1:7" ht="11.25" customHeight="1">
      <c r="A892" t="s">
        <v>16</v>
      </c>
      <c r="B892" t="s">
        <v>6106</v>
      </c>
      <c r="C892" t="s">
        <v>6107</v>
      </c>
      <c r="D892" t="s">
        <v>6120</v>
      </c>
      <c r="E892" t="s">
        <v>6121</v>
      </c>
      <c r="F892" t="s">
        <v>3547</v>
      </c>
      <c r="G892" t="s">
        <v>6122</v>
      </c>
    </row>
    <row r="893" spans="1:7" ht="11.25" customHeight="1">
      <c r="A893" t="s">
        <v>16</v>
      </c>
      <c r="B893" t="s">
        <v>6106</v>
      </c>
      <c r="C893" t="s">
        <v>6107</v>
      </c>
      <c r="D893" t="s">
        <v>6123</v>
      </c>
      <c r="E893" t="s">
        <v>6124</v>
      </c>
      <c r="F893" t="s">
        <v>3547</v>
      </c>
      <c r="G893" t="s">
        <v>6125</v>
      </c>
    </row>
    <row r="894" spans="1:7" ht="11.25" customHeight="1">
      <c r="A894" t="s">
        <v>16</v>
      </c>
      <c r="B894" t="s">
        <v>6106</v>
      </c>
      <c r="C894" t="s">
        <v>6107</v>
      </c>
      <c r="D894" t="s">
        <v>6126</v>
      </c>
      <c r="E894" t="s">
        <v>6127</v>
      </c>
      <c r="F894" t="s">
        <v>3547</v>
      </c>
      <c r="G894" t="s">
        <v>6128</v>
      </c>
    </row>
    <row r="895" spans="1:7" ht="11.25" customHeight="1">
      <c r="A895" t="s">
        <v>16</v>
      </c>
      <c r="B895" t="s">
        <v>6106</v>
      </c>
      <c r="C895" t="s">
        <v>6107</v>
      </c>
      <c r="D895" t="s">
        <v>6129</v>
      </c>
      <c r="E895" t="s">
        <v>6130</v>
      </c>
      <c r="F895" t="s">
        <v>3547</v>
      </c>
      <c r="G895" t="s">
        <v>6131</v>
      </c>
    </row>
    <row r="896" spans="1:7" ht="11.25" customHeight="1">
      <c r="A896" t="s">
        <v>16</v>
      </c>
      <c r="B896" t="s">
        <v>6106</v>
      </c>
      <c r="C896" t="s">
        <v>6107</v>
      </c>
      <c r="D896" t="s">
        <v>6132</v>
      </c>
      <c r="E896" t="s">
        <v>6133</v>
      </c>
      <c r="F896" t="s">
        <v>3547</v>
      </c>
      <c r="G896" t="s">
        <v>6134</v>
      </c>
    </row>
    <row r="897" spans="1:7" ht="11.25" customHeight="1">
      <c r="A897" t="s">
        <v>16</v>
      </c>
      <c r="B897" t="s">
        <v>6106</v>
      </c>
      <c r="C897" t="s">
        <v>6107</v>
      </c>
      <c r="D897" t="s">
        <v>6135</v>
      </c>
      <c r="E897" t="s">
        <v>6136</v>
      </c>
      <c r="F897" t="s">
        <v>3547</v>
      </c>
      <c r="G897" t="s">
        <v>6137</v>
      </c>
    </row>
    <row r="898" spans="1:7" ht="11.25" customHeight="1">
      <c r="A898" t="s">
        <v>16</v>
      </c>
      <c r="B898" t="s">
        <v>6106</v>
      </c>
      <c r="C898" t="s">
        <v>6107</v>
      </c>
      <c r="D898" t="s">
        <v>6106</v>
      </c>
      <c r="E898" t="s">
        <v>6107</v>
      </c>
      <c r="F898" t="s">
        <v>3544</v>
      </c>
      <c r="G898" t="s">
        <v>6138</v>
      </c>
    </row>
    <row r="899" spans="1:7" ht="11.25" customHeight="1">
      <c r="A899" t="s">
        <v>16</v>
      </c>
      <c r="B899" t="s">
        <v>6106</v>
      </c>
      <c r="C899" t="s">
        <v>6107</v>
      </c>
      <c r="D899" t="s">
        <v>6139</v>
      </c>
      <c r="E899" t="s">
        <v>6140</v>
      </c>
      <c r="F899" t="s">
        <v>3547</v>
      </c>
      <c r="G899" t="s">
        <v>6141</v>
      </c>
    </row>
    <row r="900" spans="1:7" ht="11.25" customHeight="1">
      <c r="A900" t="s">
        <v>16</v>
      </c>
      <c r="B900" t="s">
        <v>6106</v>
      </c>
      <c r="C900" t="s">
        <v>6107</v>
      </c>
      <c r="D900" t="s">
        <v>6142</v>
      </c>
      <c r="E900" t="s">
        <v>6143</v>
      </c>
      <c r="F900" t="s">
        <v>3547</v>
      </c>
      <c r="G900" t="s">
        <v>6144</v>
      </c>
    </row>
    <row r="901" spans="1:7" ht="11.25" customHeight="1">
      <c r="A901" t="s">
        <v>16</v>
      </c>
      <c r="B901" t="s">
        <v>6106</v>
      </c>
      <c r="C901" t="s">
        <v>6107</v>
      </c>
      <c r="D901" t="s">
        <v>6145</v>
      </c>
      <c r="E901" t="s">
        <v>6146</v>
      </c>
      <c r="F901" t="s">
        <v>3547</v>
      </c>
      <c r="G901" t="s">
        <v>6147</v>
      </c>
    </row>
    <row r="902" spans="1:7" ht="11.25" customHeight="1">
      <c r="A902" t="s">
        <v>16</v>
      </c>
      <c r="B902" t="s">
        <v>6148</v>
      </c>
      <c r="C902" t="s">
        <v>6149</v>
      </c>
      <c r="D902" t="s">
        <v>6150</v>
      </c>
      <c r="E902" t="s">
        <v>6151</v>
      </c>
      <c r="F902" t="s">
        <v>3547</v>
      </c>
      <c r="G902" t="s">
        <v>6152</v>
      </c>
    </row>
    <row r="903" spans="1:7" ht="11.25" customHeight="1">
      <c r="A903" t="s">
        <v>16</v>
      </c>
      <c r="B903" t="s">
        <v>6148</v>
      </c>
      <c r="C903" t="s">
        <v>6149</v>
      </c>
      <c r="D903" t="s">
        <v>6153</v>
      </c>
      <c r="E903" t="s">
        <v>6154</v>
      </c>
      <c r="F903" t="s">
        <v>3547</v>
      </c>
      <c r="G903" t="s">
        <v>6155</v>
      </c>
    </row>
    <row r="904" spans="1:7" ht="11.25" customHeight="1">
      <c r="A904" t="s">
        <v>16</v>
      </c>
      <c r="B904" t="s">
        <v>6148</v>
      </c>
      <c r="C904" t="s">
        <v>6149</v>
      </c>
      <c r="D904" t="s">
        <v>6156</v>
      </c>
      <c r="E904" t="s">
        <v>6157</v>
      </c>
      <c r="F904" t="s">
        <v>3547</v>
      </c>
      <c r="G904" t="s">
        <v>6158</v>
      </c>
    </row>
    <row r="905" spans="1:7" ht="11.25" customHeight="1">
      <c r="A905" t="s">
        <v>16</v>
      </c>
      <c r="B905" t="s">
        <v>6148</v>
      </c>
      <c r="C905" t="s">
        <v>6149</v>
      </c>
      <c r="D905" t="s">
        <v>6159</v>
      </c>
      <c r="E905" t="s">
        <v>6160</v>
      </c>
      <c r="F905" t="s">
        <v>3547</v>
      </c>
      <c r="G905" t="s">
        <v>6161</v>
      </c>
    </row>
    <row r="906" spans="1:7" ht="11.25" customHeight="1">
      <c r="A906" t="s">
        <v>16</v>
      </c>
      <c r="B906" t="s">
        <v>6148</v>
      </c>
      <c r="C906" t="s">
        <v>6149</v>
      </c>
      <c r="D906" t="s">
        <v>6162</v>
      </c>
      <c r="E906" t="s">
        <v>6163</v>
      </c>
      <c r="F906" t="s">
        <v>3547</v>
      </c>
      <c r="G906" t="s">
        <v>6164</v>
      </c>
    </row>
    <row r="907" spans="1:7" ht="11.25" customHeight="1">
      <c r="A907" t="s">
        <v>16</v>
      </c>
      <c r="B907" t="s">
        <v>6148</v>
      </c>
      <c r="C907" t="s">
        <v>6149</v>
      </c>
      <c r="D907" t="s">
        <v>6165</v>
      </c>
      <c r="E907" t="s">
        <v>6166</v>
      </c>
      <c r="F907" t="s">
        <v>3547</v>
      </c>
      <c r="G907" t="s">
        <v>6167</v>
      </c>
    </row>
    <row r="908" spans="1:7" ht="11.25" customHeight="1">
      <c r="A908" t="s">
        <v>16</v>
      </c>
      <c r="B908" t="s">
        <v>6148</v>
      </c>
      <c r="C908" t="s">
        <v>6149</v>
      </c>
      <c r="D908" t="s">
        <v>6168</v>
      </c>
      <c r="E908" t="s">
        <v>6169</v>
      </c>
      <c r="F908" t="s">
        <v>3547</v>
      </c>
      <c r="G908" t="s">
        <v>6170</v>
      </c>
    </row>
    <row r="909" spans="1:7" ht="11.25" customHeight="1">
      <c r="A909" t="s">
        <v>16</v>
      </c>
      <c r="B909" t="s">
        <v>6148</v>
      </c>
      <c r="C909" t="s">
        <v>6149</v>
      </c>
      <c r="D909" t="s">
        <v>6171</v>
      </c>
      <c r="E909" t="s">
        <v>6172</v>
      </c>
      <c r="F909" t="s">
        <v>3547</v>
      </c>
      <c r="G909" t="s">
        <v>6173</v>
      </c>
    </row>
    <row r="910" spans="1:7" ht="11.25" customHeight="1">
      <c r="A910" t="s">
        <v>16</v>
      </c>
      <c r="B910" t="s">
        <v>6148</v>
      </c>
      <c r="C910" t="s">
        <v>6149</v>
      </c>
      <c r="D910" t="s">
        <v>6174</v>
      </c>
      <c r="E910" t="s">
        <v>6175</v>
      </c>
      <c r="F910" t="s">
        <v>3547</v>
      </c>
      <c r="G910" t="s">
        <v>6176</v>
      </c>
    </row>
    <row r="911" spans="1:7" ht="11.25" customHeight="1">
      <c r="A911" t="s">
        <v>16</v>
      </c>
      <c r="B911" t="s">
        <v>6148</v>
      </c>
      <c r="C911" t="s">
        <v>6149</v>
      </c>
      <c r="D911" t="s">
        <v>4627</v>
      </c>
      <c r="E911" t="s">
        <v>6177</v>
      </c>
      <c r="F911" t="s">
        <v>3547</v>
      </c>
      <c r="G911" t="s">
        <v>6178</v>
      </c>
    </row>
    <row r="912" spans="1:7" ht="11.25" customHeight="1">
      <c r="A912" t="s">
        <v>16</v>
      </c>
      <c r="B912" t="s">
        <v>6148</v>
      </c>
      <c r="C912" t="s">
        <v>6149</v>
      </c>
      <c r="D912" t="s">
        <v>6179</v>
      </c>
      <c r="E912" t="s">
        <v>6180</v>
      </c>
      <c r="F912" t="s">
        <v>3547</v>
      </c>
      <c r="G912" t="s">
        <v>6181</v>
      </c>
    </row>
    <row r="913" spans="1:7" ht="11.25" customHeight="1">
      <c r="A913" t="s">
        <v>16</v>
      </c>
      <c r="B913" t="s">
        <v>6148</v>
      </c>
      <c r="C913" t="s">
        <v>6149</v>
      </c>
      <c r="D913" t="s">
        <v>6182</v>
      </c>
      <c r="E913" t="s">
        <v>6183</v>
      </c>
      <c r="F913" t="s">
        <v>3547</v>
      </c>
      <c r="G913" t="s">
        <v>6184</v>
      </c>
    </row>
    <row r="914" spans="1:7" ht="11.25" customHeight="1">
      <c r="A914" t="s">
        <v>16</v>
      </c>
      <c r="B914" t="s">
        <v>6148</v>
      </c>
      <c r="C914" t="s">
        <v>6149</v>
      </c>
      <c r="D914" t="s">
        <v>6185</v>
      </c>
      <c r="E914" t="s">
        <v>6186</v>
      </c>
      <c r="F914" t="s">
        <v>3547</v>
      </c>
      <c r="G914" t="s">
        <v>6187</v>
      </c>
    </row>
    <row r="915" spans="1:7" ht="11.25" customHeight="1">
      <c r="A915" t="s">
        <v>16</v>
      </c>
      <c r="B915" t="s">
        <v>6148</v>
      </c>
      <c r="C915" t="s">
        <v>6149</v>
      </c>
      <c r="D915" t="s">
        <v>6188</v>
      </c>
      <c r="E915" t="s">
        <v>6189</v>
      </c>
      <c r="F915" t="s">
        <v>3547</v>
      </c>
      <c r="G915" t="s">
        <v>6190</v>
      </c>
    </row>
    <row r="916" spans="1:7" ht="11.25" customHeight="1">
      <c r="A916" t="s">
        <v>16</v>
      </c>
      <c r="B916" t="s">
        <v>6148</v>
      </c>
      <c r="C916" t="s">
        <v>6149</v>
      </c>
      <c r="D916" t="s">
        <v>6191</v>
      </c>
      <c r="E916" t="s">
        <v>6192</v>
      </c>
      <c r="F916" t="s">
        <v>3547</v>
      </c>
      <c r="G916" t="s">
        <v>6193</v>
      </c>
    </row>
    <row r="917" spans="1:7" ht="11.25" customHeight="1">
      <c r="A917" t="s">
        <v>16</v>
      </c>
      <c r="B917" t="s">
        <v>6148</v>
      </c>
      <c r="C917" t="s">
        <v>6149</v>
      </c>
      <c r="D917" t="s">
        <v>6194</v>
      </c>
      <c r="E917" t="s">
        <v>6195</v>
      </c>
      <c r="F917" t="s">
        <v>3547</v>
      </c>
      <c r="G917" t="s">
        <v>6196</v>
      </c>
    </row>
    <row r="918" spans="1:7" ht="11.25" customHeight="1">
      <c r="A918" t="s">
        <v>16</v>
      </c>
      <c r="B918" t="s">
        <v>6148</v>
      </c>
      <c r="C918" t="s">
        <v>6149</v>
      </c>
      <c r="D918" t="s">
        <v>6148</v>
      </c>
      <c r="E918" t="s">
        <v>6149</v>
      </c>
      <c r="F918" t="s">
        <v>3544</v>
      </c>
      <c r="G918" t="s">
        <v>6197</v>
      </c>
    </row>
    <row r="919" spans="1:7" ht="11.25" customHeight="1">
      <c r="A919" t="s">
        <v>16</v>
      </c>
      <c r="B919" t="s">
        <v>6148</v>
      </c>
      <c r="C919" t="s">
        <v>6149</v>
      </c>
      <c r="D919" t="s">
        <v>4085</v>
      </c>
      <c r="E919" t="s">
        <v>6198</v>
      </c>
      <c r="F919" t="s">
        <v>3547</v>
      </c>
      <c r="G919" t="s">
        <v>6199</v>
      </c>
    </row>
    <row r="920" spans="1:7" ht="11.25" customHeight="1">
      <c r="A920" t="s">
        <v>16</v>
      </c>
      <c r="B920" t="s">
        <v>6148</v>
      </c>
      <c r="C920" t="s">
        <v>6149</v>
      </c>
      <c r="D920" t="s">
        <v>6200</v>
      </c>
      <c r="E920" t="s">
        <v>6201</v>
      </c>
      <c r="F920" t="s">
        <v>3547</v>
      </c>
      <c r="G920" t="s">
        <v>6202</v>
      </c>
    </row>
    <row r="921" spans="1:7" ht="11.25" customHeight="1">
      <c r="A921" t="s">
        <v>16</v>
      </c>
      <c r="B921" t="s">
        <v>6203</v>
      </c>
      <c r="C921" t="s">
        <v>6204</v>
      </c>
      <c r="D921" t="s">
        <v>6205</v>
      </c>
      <c r="E921" t="s">
        <v>6206</v>
      </c>
      <c r="F921" t="s">
        <v>3547</v>
      </c>
      <c r="G921" t="s">
        <v>6207</v>
      </c>
    </row>
    <row r="922" spans="1:7" ht="11.25" customHeight="1">
      <c r="A922" t="s">
        <v>16</v>
      </c>
      <c r="B922" t="s">
        <v>6203</v>
      </c>
      <c r="C922" t="s">
        <v>6204</v>
      </c>
      <c r="D922" t="s">
        <v>6208</v>
      </c>
      <c r="E922" t="s">
        <v>6209</v>
      </c>
      <c r="F922" t="s">
        <v>3547</v>
      </c>
      <c r="G922" t="s">
        <v>6210</v>
      </c>
    </row>
    <row r="923" spans="1:7" ht="11.25" customHeight="1">
      <c r="A923" t="s">
        <v>16</v>
      </c>
      <c r="B923" t="s">
        <v>6203</v>
      </c>
      <c r="C923" t="s">
        <v>6204</v>
      </c>
      <c r="D923" t="s">
        <v>6211</v>
      </c>
      <c r="E923" t="s">
        <v>6212</v>
      </c>
      <c r="F923" t="s">
        <v>3547</v>
      </c>
      <c r="G923" t="s">
        <v>6213</v>
      </c>
    </row>
    <row r="924" spans="1:7" ht="11.25" customHeight="1">
      <c r="A924" t="s">
        <v>16</v>
      </c>
      <c r="B924" t="s">
        <v>6203</v>
      </c>
      <c r="C924" t="s">
        <v>6204</v>
      </c>
      <c r="D924" t="s">
        <v>6214</v>
      </c>
      <c r="E924" t="s">
        <v>6215</v>
      </c>
      <c r="F924" t="s">
        <v>3547</v>
      </c>
      <c r="G924" t="s">
        <v>6216</v>
      </c>
    </row>
    <row r="925" spans="1:7" ht="11.25" customHeight="1">
      <c r="A925" t="s">
        <v>16</v>
      </c>
      <c r="B925" t="s">
        <v>6203</v>
      </c>
      <c r="C925" t="s">
        <v>6204</v>
      </c>
      <c r="D925" t="s">
        <v>6217</v>
      </c>
      <c r="E925" t="s">
        <v>6218</v>
      </c>
      <c r="F925" t="s">
        <v>3552</v>
      </c>
      <c r="G925" t="s">
        <v>6219</v>
      </c>
    </row>
    <row r="926" spans="1:7" ht="11.25" customHeight="1">
      <c r="A926" t="s">
        <v>16</v>
      </c>
      <c r="B926" t="s">
        <v>6203</v>
      </c>
      <c r="C926" t="s">
        <v>6204</v>
      </c>
      <c r="D926" t="s">
        <v>6220</v>
      </c>
      <c r="E926" t="s">
        <v>6221</v>
      </c>
      <c r="F926" t="s">
        <v>3547</v>
      </c>
      <c r="G926" t="s">
        <v>6222</v>
      </c>
    </row>
    <row r="927" spans="1:7" ht="11.25" customHeight="1">
      <c r="A927" t="s">
        <v>16</v>
      </c>
      <c r="B927" t="s">
        <v>6203</v>
      </c>
      <c r="C927" t="s">
        <v>6204</v>
      </c>
      <c r="D927" t="s">
        <v>6223</v>
      </c>
      <c r="E927" t="s">
        <v>6224</v>
      </c>
      <c r="F927" t="s">
        <v>3547</v>
      </c>
      <c r="G927" t="s">
        <v>6225</v>
      </c>
    </row>
    <row r="928" spans="1:7" ht="11.25" customHeight="1">
      <c r="A928" t="s">
        <v>16</v>
      </c>
      <c r="B928" t="s">
        <v>6203</v>
      </c>
      <c r="C928" t="s">
        <v>6204</v>
      </c>
      <c r="D928" t="s">
        <v>6226</v>
      </c>
      <c r="E928" t="s">
        <v>6227</v>
      </c>
      <c r="F928" t="s">
        <v>3547</v>
      </c>
      <c r="G928" t="s">
        <v>6228</v>
      </c>
    </row>
    <row r="929" spans="1:7" ht="11.25" customHeight="1">
      <c r="A929" t="s">
        <v>16</v>
      </c>
      <c r="B929" t="s">
        <v>6203</v>
      </c>
      <c r="C929" t="s">
        <v>6204</v>
      </c>
      <c r="D929" t="s">
        <v>6229</v>
      </c>
      <c r="E929" t="s">
        <v>6230</v>
      </c>
      <c r="F929" t="s">
        <v>3547</v>
      </c>
      <c r="G929" t="s">
        <v>6231</v>
      </c>
    </row>
    <row r="930" spans="1:7" ht="11.25" customHeight="1">
      <c r="A930" t="s">
        <v>16</v>
      </c>
      <c r="B930" t="s">
        <v>6203</v>
      </c>
      <c r="C930" t="s">
        <v>6204</v>
      </c>
      <c r="D930" t="s">
        <v>6232</v>
      </c>
      <c r="E930" t="s">
        <v>6233</v>
      </c>
      <c r="F930" t="s">
        <v>3547</v>
      </c>
      <c r="G930" t="s">
        <v>6234</v>
      </c>
    </row>
    <row r="931" spans="1:7" ht="11.25" customHeight="1">
      <c r="A931" t="s">
        <v>16</v>
      </c>
      <c r="B931" t="s">
        <v>6203</v>
      </c>
      <c r="C931" t="s">
        <v>6204</v>
      </c>
      <c r="D931" t="s">
        <v>6235</v>
      </c>
      <c r="E931" t="s">
        <v>6236</v>
      </c>
      <c r="F931" t="s">
        <v>3547</v>
      </c>
      <c r="G931" t="s">
        <v>6237</v>
      </c>
    </row>
    <row r="932" spans="1:7" ht="11.25" customHeight="1">
      <c r="A932" t="s">
        <v>16</v>
      </c>
      <c r="B932" t="s">
        <v>6203</v>
      </c>
      <c r="C932" t="s">
        <v>6204</v>
      </c>
      <c r="D932" t="s">
        <v>6238</v>
      </c>
      <c r="E932" t="s">
        <v>6239</v>
      </c>
      <c r="F932" t="s">
        <v>3547</v>
      </c>
      <c r="G932" t="s">
        <v>6240</v>
      </c>
    </row>
    <row r="933" spans="1:7" ht="11.25" customHeight="1">
      <c r="A933" t="s">
        <v>16</v>
      </c>
      <c r="B933" t="s">
        <v>6203</v>
      </c>
      <c r="C933" t="s">
        <v>6204</v>
      </c>
      <c r="D933" t="s">
        <v>6241</v>
      </c>
      <c r="E933" t="s">
        <v>6242</v>
      </c>
      <c r="F933" t="s">
        <v>3547</v>
      </c>
      <c r="G933" t="s">
        <v>6243</v>
      </c>
    </row>
    <row r="934" spans="1:7" ht="11.25" customHeight="1">
      <c r="A934" t="s">
        <v>16</v>
      </c>
      <c r="B934" t="s">
        <v>6203</v>
      </c>
      <c r="C934" t="s">
        <v>6204</v>
      </c>
      <c r="D934" t="s">
        <v>6244</v>
      </c>
      <c r="E934" t="s">
        <v>6245</v>
      </c>
      <c r="F934" t="s">
        <v>3547</v>
      </c>
      <c r="G934" t="s">
        <v>6246</v>
      </c>
    </row>
    <row r="935" spans="1:7" ht="11.25" customHeight="1">
      <c r="A935" t="s">
        <v>16</v>
      </c>
      <c r="B935" t="s">
        <v>6203</v>
      </c>
      <c r="C935" t="s">
        <v>6204</v>
      </c>
      <c r="D935" t="s">
        <v>6247</v>
      </c>
      <c r="E935" t="s">
        <v>6248</v>
      </c>
      <c r="F935" t="s">
        <v>3547</v>
      </c>
      <c r="G935" t="s">
        <v>6249</v>
      </c>
    </row>
    <row r="936" spans="1:7" ht="11.25" customHeight="1">
      <c r="A936" t="s">
        <v>16</v>
      </c>
      <c r="B936" t="s">
        <v>6203</v>
      </c>
      <c r="C936" t="s">
        <v>6204</v>
      </c>
      <c r="D936" t="s">
        <v>6250</v>
      </c>
      <c r="E936" t="s">
        <v>6251</v>
      </c>
      <c r="F936" t="s">
        <v>3547</v>
      </c>
      <c r="G936" t="s">
        <v>6252</v>
      </c>
    </row>
    <row r="937" spans="1:7" ht="11.25" customHeight="1">
      <c r="A937" t="s">
        <v>16</v>
      </c>
      <c r="B937" t="s">
        <v>6203</v>
      </c>
      <c r="C937" t="s">
        <v>6204</v>
      </c>
      <c r="D937" t="s">
        <v>6253</v>
      </c>
      <c r="E937" t="s">
        <v>6254</v>
      </c>
      <c r="F937" t="s">
        <v>3547</v>
      </c>
      <c r="G937" t="s">
        <v>6255</v>
      </c>
    </row>
    <row r="938" spans="1:7" ht="11.25" customHeight="1">
      <c r="A938" t="s">
        <v>16</v>
      </c>
      <c r="B938" t="s">
        <v>6203</v>
      </c>
      <c r="C938" t="s">
        <v>6204</v>
      </c>
      <c r="D938" t="s">
        <v>6256</v>
      </c>
      <c r="E938" t="s">
        <v>6257</v>
      </c>
      <c r="F938" t="s">
        <v>3547</v>
      </c>
      <c r="G938" t="s">
        <v>6258</v>
      </c>
    </row>
    <row r="939" spans="1:7" ht="11.25" customHeight="1">
      <c r="A939" t="s">
        <v>16</v>
      </c>
      <c r="B939" t="s">
        <v>6203</v>
      </c>
      <c r="C939" t="s">
        <v>6204</v>
      </c>
      <c r="D939" t="s">
        <v>6259</v>
      </c>
      <c r="E939" t="s">
        <v>6260</v>
      </c>
      <c r="F939" t="s">
        <v>3547</v>
      </c>
      <c r="G939" t="s">
        <v>6261</v>
      </c>
    </row>
    <row r="940" spans="1:7" ht="11.25" customHeight="1">
      <c r="A940" t="s">
        <v>16</v>
      </c>
      <c r="B940" t="s">
        <v>6203</v>
      </c>
      <c r="C940" t="s">
        <v>6204</v>
      </c>
      <c r="D940" t="s">
        <v>6262</v>
      </c>
      <c r="E940" t="s">
        <v>6263</v>
      </c>
      <c r="F940" t="s">
        <v>3547</v>
      </c>
      <c r="G940" t="s">
        <v>6264</v>
      </c>
    </row>
    <row r="941" spans="1:7" ht="11.25" customHeight="1">
      <c r="A941" t="s">
        <v>16</v>
      </c>
      <c r="B941" t="s">
        <v>6203</v>
      </c>
      <c r="C941" t="s">
        <v>6204</v>
      </c>
      <c r="D941" t="s">
        <v>6265</v>
      </c>
      <c r="E941" t="s">
        <v>6266</v>
      </c>
      <c r="F941" t="s">
        <v>3547</v>
      </c>
      <c r="G941" t="s">
        <v>6267</v>
      </c>
    </row>
    <row r="942" spans="1:7" ht="11.25" customHeight="1">
      <c r="A942" t="s">
        <v>16</v>
      </c>
      <c r="B942" t="s">
        <v>6203</v>
      </c>
      <c r="C942" t="s">
        <v>6204</v>
      </c>
      <c r="D942" t="s">
        <v>6203</v>
      </c>
      <c r="E942" t="s">
        <v>6204</v>
      </c>
      <c r="F942" t="s">
        <v>3544</v>
      </c>
      <c r="G942" t="s">
        <v>6268</v>
      </c>
    </row>
    <row r="943" spans="1:7" ht="11.25" customHeight="1">
      <c r="A943" t="s">
        <v>16</v>
      </c>
      <c r="B943" t="s">
        <v>6203</v>
      </c>
      <c r="C943" t="s">
        <v>6204</v>
      </c>
      <c r="D943" t="s">
        <v>6269</v>
      </c>
      <c r="E943" t="s">
        <v>6270</v>
      </c>
      <c r="F943" t="s">
        <v>3547</v>
      </c>
      <c r="G943" t="s">
        <v>6271</v>
      </c>
    </row>
    <row r="944" spans="1:7" ht="11.25" customHeight="1">
      <c r="A944" t="s">
        <v>16</v>
      </c>
      <c r="B944" t="s">
        <v>6203</v>
      </c>
      <c r="C944" t="s">
        <v>6204</v>
      </c>
      <c r="D944" t="s">
        <v>6272</v>
      </c>
      <c r="E944" t="s">
        <v>6273</v>
      </c>
      <c r="F944" t="s">
        <v>3547</v>
      </c>
      <c r="G944" t="s">
        <v>6274</v>
      </c>
    </row>
    <row r="945" spans="1:7" ht="11.25" customHeight="1">
      <c r="A945" t="s">
        <v>16</v>
      </c>
      <c r="B945" t="s">
        <v>6203</v>
      </c>
      <c r="C945" t="s">
        <v>6204</v>
      </c>
      <c r="D945" t="s">
        <v>6275</v>
      </c>
      <c r="E945" t="s">
        <v>6276</v>
      </c>
      <c r="F945" t="s">
        <v>3547</v>
      </c>
      <c r="G945" t="s">
        <v>6277</v>
      </c>
    </row>
    <row r="946" spans="1:7" ht="11.25" customHeight="1">
      <c r="A946" t="s">
        <v>16</v>
      </c>
      <c r="B946" t="s">
        <v>6278</v>
      </c>
      <c r="C946" t="s">
        <v>6279</v>
      </c>
      <c r="D946" t="s">
        <v>6280</v>
      </c>
      <c r="E946" t="s">
        <v>6281</v>
      </c>
      <c r="F946" t="s">
        <v>3547</v>
      </c>
      <c r="G946" t="s">
        <v>6282</v>
      </c>
    </row>
    <row r="947" spans="1:7" ht="11.25" customHeight="1">
      <c r="A947" t="s">
        <v>16</v>
      </c>
      <c r="B947" t="s">
        <v>6278</v>
      </c>
      <c r="C947" t="s">
        <v>6279</v>
      </c>
      <c r="D947" t="s">
        <v>4294</v>
      </c>
      <c r="E947" t="s">
        <v>6283</v>
      </c>
      <c r="F947" t="s">
        <v>3547</v>
      </c>
      <c r="G947" t="s">
        <v>6284</v>
      </c>
    </row>
    <row r="948" spans="1:7" ht="11.25" customHeight="1">
      <c r="A948" t="s">
        <v>16</v>
      </c>
      <c r="B948" t="s">
        <v>6278</v>
      </c>
      <c r="C948" t="s">
        <v>6279</v>
      </c>
      <c r="D948" t="s">
        <v>6285</v>
      </c>
      <c r="E948" t="s">
        <v>6286</v>
      </c>
      <c r="F948" t="s">
        <v>3547</v>
      </c>
      <c r="G948" t="s">
        <v>6287</v>
      </c>
    </row>
    <row r="949" spans="1:7" ht="11.25" customHeight="1">
      <c r="A949" t="s">
        <v>16</v>
      </c>
      <c r="B949" t="s">
        <v>6278</v>
      </c>
      <c r="C949" t="s">
        <v>6279</v>
      </c>
      <c r="D949" t="s">
        <v>6288</v>
      </c>
      <c r="E949" t="s">
        <v>6289</v>
      </c>
      <c r="F949" t="s">
        <v>3547</v>
      </c>
      <c r="G949" t="s">
        <v>6290</v>
      </c>
    </row>
    <row r="950" spans="1:7" ht="11.25" customHeight="1">
      <c r="A950" t="s">
        <v>16</v>
      </c>
      <c r="B950" t="s">
        <v>6278</v>
      </c>
      <c r="C950" t="s">
        <v>6279</v>
      </c>
      <c r="D950" t="s">
        <v>6291</v>
      </c>
      <c r="E950" t="s">
        <v>6292</v>
      </c>
      <c r="F950" t="s">
        <v>3547</v>
      </c>
      <c r="G950" t="s">
        <v>6293</v>
      </c>
    </row>
    <row r="951" spans="1:7" ht="11.25" customHeight="1">
      <c r="A951" t="s">
        <v>16</v>
      </c>
      <c r="B951" t="s">
        <v>6278</v>
      </c>
      <c r="C951" t="s">
        <v>6279</v>
      </c>
      <c r="D951" t="s">
        <v>6294</v>
      </c>
      <c r="E951" t="s">
        <v>6295</v>
      </c>
      <c r="F951" t="s">
        <v>3547</v>
      </c>
      <c r="G951" t="s">
        <v>6296</v>
      </c>
    </row>
    <row r="952" spans="1:7" ht="11.25" customHeight="1">
      <c r="A952" t="s">
        <v>16</v>
      </c>
      <c r="B952" t="s">
        <v>6278</v>
      </c>
      <c r="C952" t="s">
        <v>6279</v>
      </c>
      <c r="D952" t="s">
        <v>6297</v>
      </c>
      <c r="E952" t="s">
        <v>6298</v>
      </c>
      <c r="F952" t="s">
        <v>3547</v>
      </c>
      <c r="G952" t="s">
        <v>6299</v>
      </c>
    </row>
    <row r="953" spans="1:7" ht="11.25" customHeight="1">
      <c r="A953" t="s">
        <v>16</v>
      </c>
      <c r="B953" t="s">
        <v>6278</v>
      </c>
      <c r="C953" t="s">
        <v>6279</v>
      </c>
      <c r="D953" t="s">
        <v>6300</v>
      </c>
      <c r="E953" t="s">
        <v>6301</v>
      </c>
      <c r="F953" t="s">
        <v>3547</v>
      </c>
      <c r="G953" t="s">
        <v>6302</v>
      </c>
    </row>
    <row r="954" spans="1:7" ht="11.25" customHeight="1">
      <c r="A954" t="s">
        <v>16</v>
      </c>
      <c r="B954" t="s">
        <v>6278</v>
      </c>
      <c r="C954" t="s">
        <v>6279</v>
      </c>
      <c r="D954" t="s">
        <v>6303</v>
      </c>
      <c r="E954" t="s">
        <v>6304</v>
      </c>
      <c r="F954" t="s">
        <v>3547</v>
      </c>
      <c r="G954" t="s">
        <v>6305</v>
      </c>
    </row>
    <row r="955" spans="1:7" ht="11.25" customHeight="1">
      <c r="A955" t="s">
        <v>16</v>
      </c>
      <c r="B955" t="s">
        <v>6278</v>
      </c>
      <c r="C955" t="s">
        <v>6279</v>
      </c>
      <c r="D955" t="s">
        <v>6278</v>
      </c>
      <c r="E955" t="s">
        <v>6279</v>
      </c>
      <c r="F955" t="s">
        <v>3544</v>
      </c>
      <c r="G955" t="s">
        <v>6306</v>
      </c>
    </row>
    <row r="956" spans="1:7" ht="11.25" customHeight="1">
      <c r="A956" t="s">
        <v>16</v>
      </c>
      <c r="B956" t="s">
        <v>6278</v>
      </c>
      <c r="C956" t="s">
        <v>6279</v>
      </c>
      <c r="D956" t="s">
        <v>6307</v>
      </c>
      <c r="E956" t="s">
        <v>6308</v>
      </c>
      <c r="F956" t="s">
        <v>3547</v>
      </c>
      <c r="G956" t="s">
        <v>6309</v>
      </c>
    </row>
    <row r="957" spans="1:7" ht="11.25" customHeight="1">
      <c r="A957" t="s">
        <v>16</v>
      </c>
      <c r="B957" t="s">
        <v>6278</v>
      </c>
      <c r="C957" t="s">
        <v>6279</v>
      </c>
      <c r="D957" t="s">
        <v>6310</v>
      </c>
      <c r="E957" t="s">
        <v>6311</v>
      </c>
      <c r="F957" t="s">
        <v>3649</v>
      </c>
      <c r="G957" t="s">
        <v>6312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CC915-6F84-6C99-720C-CACFA59A76C3}">
  <sheetPr>
    <tabColor rgb="FFFFCC99"/>
  </sheetPr>
  <dimension ref="A1:I63"/>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6313</v>
      </c>
      <c r="B1" s="32" t="s">
        <v>6314</v>
      </c>
      <c r="C1" s="32" t="s">
        <v>6315</v>
      </c>
      <c r="D1" s="32" t="s">
        <v>6316</v>
      </c>
      <c r="E1" s="32" t="s">
        <v>6317</v>
      </c>
      <c r="F1" s="32" t="s">
        <v>6318</v>
      </c>
      <c r="G1" s="32" t="s">
        <v>6319</v>
      </c>
      <c r="H1" s="32" t="s">
        <v>6320</v>
      </c>
      <c r="I1" s="32" t="s">
        <v>6321</v>
      </c>
    </row>
    <row r="2" spans="1:9" ht="11.25" customHeight="1">
      <c r="A2" s="32" t="s">
        <v>115</v>
      </c>
      <c r="B2" s="32" t="s">
        <v>6322</v>
      </c>
      <c r="C2" s="32" t="s">
        <v>22</v>
      </c>
      <c r="D2" s="32" t="s">
        <v>6323</v>
      </c>
      <c r="E2" s="32" t="s">
        <v>6324</v>
      </c>
      <c r="F2" s="32" t="s">
        <v>22</v>
      </c>
      <c r="G2" s="32" t="s">
        <v>22</v>
      </c>
      <c r="H2" s="32" t="s">
        <v>22</v>
      </c>
      <c r="I2" s="32" t="s">
        <v>22</v>
      </c>
    </row>
    <row r="3" spans="1:9" ht="11.25" customHeight="1">
      <c r="A3" s="32" t="s">
        <v>103</v>
      </c>
      <c r="B3" s="32" t="s">
        <v>6325</v>
      </c>
      <c r="C3" s="32" t="s">
        <v>22</v>
      </c>
      <c r="D3" s="32" t="s">
        <v>6326</v>
      </c>
      <c r="E3" s="32" t="s">
        <v>6327</v>
      </c>
      <c r="F3" s="32" t="s">
        <v>22</v>
      </c>
      <c r="G3" s="32" t="s">
        <v>22</v>
      </c>
      <c r="H3" s="32" t="s">
        <v>22</v>
      </c>
      <c r="I3" s="32" t="s">
        <v>22</v>
      </c>
    </row>
    <row r="4" spans="1:9" ht="11.25" customHeight="1">
      <c r="A4" s="32" t="s">
        <v>90</v>
      </c>
      <c r="B4" s="32" t="s">
        <v>6328</v>
      </c>
      <c r="C4" s="32" t="s">
        <v>22</v>
      </c>
      <c r="D4" s="32" t="s">
        <v>6329</v>
      </c>
      <c r="E4" s="32" t="s">
        <v>6330</v>
      </c>
      <c r="F4" s="32" t="s">
        <v>22</v>
      </c>
      <c r="G4" s="32" t="s">
        <v>22</v>
      </c>
      <c r="H4" s="32" t="s">
        <v>22</v>
      </c>
      <c r="I4" s="32" t="s">
        <v>22</v>
      </c>
    </row>
    <row r="5" spans="1:9" ht="11.25" customHeight="1">
      <c r="A5" s="32" t="s">
        <v>91</v>
      </c>
      <c r="B5" s="32" t="s">
        <v>6331</v>
      </c>
      <c r="C5" s="32" t="s">
        <v>22</v>
      </c>
      <c r="D5" s="32" t="s">
        <v>6332</v>
      </c>
      <c r="E5" s="32" t="s">
        <v>6324</v>
      </c>
      <c r="F5" s="32" t="s">
        <v>22</v>
      </c>
      <c r="G5" s="32" t="s">
        <v>22</v>
      </c>
      <c r="H5" s="32" t="s">
        <v>22</v>
      </c>
      <c r="I5" s="32" t="s">
        <v>22</v>
      </c>
    </row>
    <row r="6" spans="1:9" ht="11.25" customHeight="1">
      <c r="A6" s="32" t="s">
        <v>116</v>
      </c>
      <c r="B6" s="32" t="s">
        <v>6333</v>
      </c>
      <c r="C6" s="32" t="s">
        <v>22</v>
      </c>
      <c r="D6" s="32" t="s">
        <v>6332</v>
      </c>
      <c r="E6" s="32" t="s">
        <v>6324</v>
      </c>
      <c r="F6" s="32" t="s">
        <v>22</v>
      </c>
      <c r="G6" s="32" t="s">
        <v>22</v>
      </c>
      <c r="H6" s="32" t="s">
        <v>22</v>
      </c>
      <c r="I6" s="32" t="s">
        <v>22</v>
      </c>
    </row>
    <row r="7" spans="1:9" ht="11.25" customHeight="1">
      <c r="A7" s="32" t="s">
        <v>92</v>
      </c>
      <c r="B7" s="32" t="s">
        <v>6334</v>
      </c>
      <c r="C7" s="32" t="s">
        <v>22</v>
      </c>
      <c r="D7" s="32" t="s">
        <v>6329</v>
      </c>
      <c r="E7" s="32" t="s">
        <v>6330</v>
      </c>
      <c r="F7" s="32" t="s">
        <v>22</v>
      </c>
      <c r="G7" s="32" t="s">
        <v>22</v>
      </c>
      <c r="H7" s="32" t="s">
        <v>22</v>
      </c>
      <c r="I7" s="32" t="s">
        <v>22</v>
      </c>
    </row>
    <row r="8" spans="1:9" ht="11.25" customHeight="1">
      <c r="A8" s="32" t="s">
        <v>93</v>
      </c>
      <c r="B8" s="32" t="s">
        <v>6335</v>
      </c>
      <c r="C8" s="32" t="s">
        <v>22</v>
      </c>
      <c r="D8" s="32" t="s">
        <v>6332</v>
      </c>
      <c r="E8" s="32" t="s">
        <v>6330</v>
      </c>
      <c r="F8" s="32" t="s">
        <v>22</v>
      </c>
      <c r="G8" s="32" t="s">
        <v>22</v>
      </c>
      <c r="H8" s="32" t="s">
        <v>22</v>
      </c>
      <c r="I8" s="32" t="s">
        <v>22</v>
      </c>
    </row>
    <row r="9" spans="1:9" ht="11.25" customHeight="1">
      <c r="A9" s="32" t="s">
        <v>117</v>
      </c>
      <c r="B9" s="32" t="s">
        <v>6336</v>
      </c>
      <c r="C9" s="32" t="s">
        <v>22</v>
      </c>
      <c r="D9" s="32" t="s">
        <v>6332</v>
      </c>
      <c r="E9" s="32" t="s">
        <v>6337</v>
      </c>
      <c r="F9" s="32" t="s">
        <v>22</v>
      </c>
      <c r="G9" s="32" t="s">
        <v>22</v>
      </c>
      <c r="H9" s="32" t="s">
        <v>22</v>
      </c>
      <c r="I9" s="32" t="s">
        <v>22</v>
      </c>
    </row>
    <row r="10" spans="1:9" ht="11.25" customHeight="1">
      <c r="A10" s="32" t="s">
        <v>154</v>
      </c>
      <c r="B10" s="32" t="s">
        <v>6338</v>
      </c>
      <c r="C10" s="32" t="s">
        <v>22</v>
      </c>
      <c r="D10" s="32" t="s">
        <v>6332</v>
      </c>
      <c r="E10" s="32" t="s">
        <v>6327</v>
      </c>
      <c r="F10" s="32" t="s">
        <v>22</v>
      </c>
      <c r="G10" s="32" t="s">
        <v>22</v>
      </c>
      <c r="H10" s="32" t="s">
        <v>22</v>
      </c>
      <c r="I10" s="32" t="s">
        <v>22</v>
      </c>
    </row>
    <row r="11" spans="1:9" ht="11.25" customHeight="1">
      <c r="A11" s="32" t="s">
        <v>155</v>
      </c>
      <c r="B11" s="32" t="s">
        <v>6339</v>
      </c>
      <c r="C11" s="32" t="s">
        <v>22</v>
      </c>
      <c r="D11" s="32" t="s">
        <v>6332</v>
      </c>
      <c r="E11" s="32" t="s">
        <v>6324</v>
      </c>
      <c r="F11" s="32" t="s">
        <v>22</v>
      </c>
      <c r="G11" s="32" t="s">
        <v>22</v>
      </c>
      <c r="H11" s="32" t="s">
        <v>22</v>
      </c>
      <c r="I11" s="32" t="s">
        <v>22</v>
      </c>
    </row>
    <row r="12" spans="1:9" ht="11.25" customHeight="1">
      <c r="A12" s="32" t="s">
        <v>156</v>
      </c>
      <c r="B12" s="32" t="s">
        <v>6340</v>
      </c>
      <c r="C12" s="32" t="s">
        <v>22</v>
      </c>
      <c r="D12" s="32" t="s">
        <v>6332</v>
      </c>
      <c r="E12" s="32" t="s">
        <v>6330</v>
      </c>
      <c r="F12" s="32" t="s">
        <v>22</v>
      </c>
      <c r="G12" s="32" t="s">
        <v>22</v>
      </c>
      <c r="H12" s="32" t="s">
        <v>22</v>
      </c>
      <c r="I12" s="32" t="s">
        <v>22</v>
      </c>
    </row>
    <row r="13" spans="1:9" ht="11.25" customHeight="1">
      <c r="A13" s="32" t="s">
        <v>157</v>
      </c>
      <c r="B13" s="32" t="s">
        <v>6341</v>
      </c>
      <c r="C13" s="32" t="s">
        <v>22</v>
      </c>
      <c r="D13" s="32" t="s">
        <v>6332</v>
      </c>
      <c r="E13" s="32" t="s">
        <v>6324</v>
      </c>
      <c r="F13" s="32" t="s">
        <v>22</v>
      </c>
      <c r="G13" s="32" t="s">
        <v>22</v>
      </c>
      <c r="H13" s="32" t="s">
        <v>22</v>
      </c>
      <c r="I13" s="32" t="s">
        <v>22</v>
      </c>
    </row>
    <row r="14" spans="1:9" ht="11.25" customHeight="1">
      <c r="A14" s="32" t="s">
        <v>158</v>
      </c>
      <c r="B14" s="32" t="s">
        <v>6342</v>
      </c>
      <c r="C14" s="32" t="s">
        <v>22</v>
      </c>
      <c r="D14" s="32" t="s">
        <v>6332</v>
      </c>
      <c r="E14" s="32" t="s">
        <v>6327</v>
      </c>
      <c r="F14" s="32" t="s">
        <v>22</v>
      </c>
      <c r="G14" s="32" t="s">
        <v>22</v>
      </c>
      <c r="H14" s="32" t="s">
        <v>22</v>
      </c>
      <c r="I14" s="32" t="s">
        <v>22</v>
      </c>
    </row>
    <row r="15" spans="1:9" ht="11.25" customHeight="1">
      <c r="A15" s="32" t="s">
        <v>159</v>
      </c>
      <c r="B15" s="32" t="s">
        <v>6343</v>
      </c>
      <c r="C15" s="32" t="s">
        <v>22</v>
      </c>
      <c r="D15" s="32" t="s">
        <v>6337</v>
      </c>
      <c r="E15" s="32" t="s">
        <v>6330</v>
      </c>
      <c r="F15" s="32" t="s">
        <v>22</v>
      </c>
      <c r="G15" s="32" t="s">
        <v>22</v>
      </c>
      <c r="H15" s="32" t="s">
        <v>22</v>
      </c>
      <c r="I15" s="32" t="s">
        <v>22</v>
      </c>
    </row>
    <row r="16" spans="1:9" ht="11.25" customHeight="1">
      <c r="A16" s="32" t="s">
        <v>1466</v>
      </c>
      <c r="B16" s="32" t="s">
        <v>6344</v>
      </c>
      <c r="C16" s="32" t="s">
        <v>22</v>
      </c>
      <c r="D16" s="32" t="s">
        <v>6337</v>
      </c>
      <c r="E16" s="32" t="s">
        <v>6345</v>
      </c>
      <c r="F16" s="32" t="s">
        <v>22</v>
      </c>
      <c r="G16" s="32" t="s">
        <v>22</v>
      </c>
      <c r="H16" s="32" t="s">
        <v>22</v>
      </c>
      <c r="I16" s="32" t="s">
        <v>22</v>
      </c>
    </row>
    <row r="17" spans="1:9" ht="11.25" customHeight="1">
      <c r="A17" s="32" t="s">
        <v>1472</v>
      </c>
      <c r="B17" s="32" t="s">
        <v>6346</v>
      </c>
      <c r="C17" s="32" t="s">
        <v>22</v>
      </c>
      <c r="D17" s="32" t="s">
        <v>6337</v>
      </c>
      <c r="E17" s="32" t="s">
        <v>6330</v>
      </c>
      <c r="F17" s="32" t="s">
        <v>22</v>
      </c>
      <c r="G17" s="32" t="s">
        <v>22</v>
      </c>
      <c r="H17" s="32" t="s">
        <v>22</v>
      </c>
      <c r="I17" s="32" t="s">
        <v>22</v>
      </c>
    </row>
    <row r="18" spans="1:9" ht="11.25" customHeight="1">
      <c r="A18" s="32" t="s">
        <v>1484</v>
      </c>
      <c r="B18" s="32" t="s">
        <v>6347</v>
      </c>
      <c r="C18" s="32" t="s">
        <v>22</v>
      </c>
      <c r="D18" s="32" t="s">
        <v>6337</v>
      </c>
      <c r="E18" s="32" t="s">
        <v>6327</v>
      </c>
      <c r="F18" s="32" t="s">
        <v>22</v>
      </c>
      <c r="G18" s="32" t="s">
        <v>22</v>
      </c>
      <c r="H18" s="32" t="s">
        <v>22</v>
      </c>
      <c r="I18" s="32" t="s">
        <v>22</v>
      </c>
    </row>
    <row r="19" spans="1:9" ht="11.25" customHeight="1">
      <c r="A19" s="32" t="s">
        <v>1498</v>
      </c>
      <c r="B19" s="32" t="s">
        <v>6348</v>
      </c>
      <c r="C19" s="32" t="s">
        <v>22</v>
      </c>
      <c r="D19" s="32" t="s">
        <v>6337</v>
      </c>
      <c r="E19" s="32" t="s">
        <v>6330</v>
      </c>
      <c r="F19" s="32" t="s">
        <v>22</v>
      </c>
      <c r="G19" s="32" t="s">
        <v>22</v>
      </c>
      <c r="H19" s="32" t="s">
        <v>22</v>
      </c>
      <c r="I19" s="32" t="s">
        <v>22</v>
      </c>
    </row>
    <row r="20" spans="1:9" ht="11.25" customHeight="1">
      <c r="A20" s="32" t="s">
        <v>1510</v>
      </c>
      <c r="B20" s="32" t="s">
        <v>6349</v>
      </c>
      <c r="C20" s="32" t="s">
        <v>22</v>
      </c>
      <c r="D20" s="32" t="s">
        <v>6337</v>
      </c>
      <c r="E20" s="32" t="s">
        <v>6330</v>
      </c>
      <c r="F20" s="32" t="s">
        <v>22</v>
      </c>
      <c r="G20" s="32" t="s">
        <v>22</v>
      </c>
      <c r="H20" s="32" t="s">
        <v>22</v>
      </c>
      <c r="I20" s="32" t="s">
        <v>22</v>
      </c>
    </row>
    <row r="21" spans="1:9" ht="11.25" customHeight="1">
      <c r="A21" s="32" t="s">
        <v>1519</v>
      </c>
      <c r="B21" s="32" t="s">
        <v>6350</v>
      </c>
      <c r="C21" s="32" t="s">
        <v>22</v>
      </c>
      <c r="D21" s="32" t="s">
        <v>6337</v>
      </c>
      <c r="E21" s="32" t="s">
        <v>6345</v>
      </c>
      <c r="F21" s="32" t="s">
        <v>22</v>
      </c>
      <c r="G21" s="32" t="s">
        <v>22</v>
      </c>
      <c r="H21" s="32" t="s">
        <v>22</v>
      </c>
      <c r="I21" s="32" t="s">
        <v>22</v>
      </c>
    </row>
    <row r="22" spans="1:9" ht="11.25" customHeight="1">
      <c r="A22" s="32" t="s">
        <v>1535</v>
      </c>
      <c r="B22" s="32" t="s">
        <v>6351</v>
      </c>
      <c r="C22" s="32" t="s">
        <v>22</v>
      </c>
      <c r="D22" s="32" t="s">
        <v>6337</v>
      </c>
      <c r="E22" s="32" t="s">
        <v>6330</v>
      </c>
      <c r="F22" s="32" t="s">
        <v>22</v>
      </c>
      <c r="G22" s="32" t="s">
        <v>22</v>
      </c>
      <c r="H22" s="32" t="s">
        <v>22</v>
      </c>
      <c r="I22" s="32" t="s">
        <v>22</v>
      </c>
    </row>
    <row r="23" spans="1:9" ht="11.25" customHeight="1">
      <c r="A23" s="32" t="s">
        <v>1542</v>
      </c>
      <c r="B23" s="32" t="s">
        <v>6352</v>
      </c>
      <c r="C23" s="32" t="s">
        <v>22</v>
      </c>
      <c r="D23" s="32" t="s">
        <v>6337</v>
      </c>
      <c r="E23" s="32" t="s">
        <v>6345</v>
      </c>
      <c r="F23" s="32" t="s">
        <v>22</v>
      </c>
      <c r="G23" s="32" t="s">
        <v>22</v>
      </c>
      <c r="H23" s="32" t="s">
        <v>22</v>
      </c>
      <c r="I23" s="32" t="s">
        <v>22</v>
      </c>
    </row>
    <row r="24" spans="1:9" ht="11.25" customHeight="1">
      <c r="A24" s="32" t="s">
        <v>1550</v>
      </c>
      <c r="B24" s="32" t="s">
        <v>6353</v>
      </c>
      <c r="C24" s="32" t="s">
        <v>22</v>
      </c>
      <c r="D24" s="32" t="s">
        <v>6337</v>
      </c>
      <c r="E24" s="32" t="s">
        <v>6330</v>
      </c>
      <c r="F24" s="32" t="s">
        <v>22</v>
      </c>
      <c r="G24" s="32" t="s">
        <v>22</v>
      </c>
      <c r="H24" s="32" t="s">
        <v>22</v>
      </c>
      <c r="I24" s="32" t="s">
        <v>22</v>
      </c>
    </row>
    <row r="25" spans="1:9" ht="11.25" customHeight="1">
      <c r="A25" s="32" t="s">
        <v>1557</v>
      </c>
      <c r="B25" s="32" t="s">
        <v>6354</v>
      </c>
      <c r="C25" s="32" t="s">
        <v>22</v>
      </c>
      <c r="D25" s="32" t="s">
        <v>6337</v>
      </c>
      <c r="E25" s="32" t="s">
        <v>6345</v>
      </c>
      <c r="F25" s="32" t="s">
        <v>22</v>
      </c>
      <c r="G25" s="32" t="s">
        <v>22</v>
      </c>
      <c r="H25" s="32" t="s">
        <v>22</v>
      </c>
      <c r="I25" s="32" t="s">
        <v>22</v>
      </c>
    </row>
    <row r="26" spans="1:9" ht="11.25" customHeight="1">
      <c r="A26" s="32" t="s">
        <v>1561</v>
      </c>
      <c r="B26" s="32" t="s">
        <v>6355</v>
      </c>
      <c r="C26" s="32" t="s">
        <v>22</v>
      </c>
      <c r="D26" s="32" t="s">
        <v>6337</v>
      </c>
      <c r="E26" s="32" t="s">
        <v>6356</v>
      </c>
      <c r="F26" s="32" t="s">
        <v>22</v>
      </c>
      <c r="G26" s="32" t="s">
        <v>22</v>
      </c>
      <c r="H26" s="32" t="s">
        <v>22</v>
      </c>
      <c r="I26" s="32" t="s">
        <v>22</v>
      </c>
    </row>
    <row r="27" spans="1:9" ht="11.25" customHeight="1">
      <c r="A27" s="32" t="s">
        <v>1566</v>
      </c>
      <c r="B27" s="32" t="s">
        <v>6357</v>
      </c>
      <c r="C27" s="32" t="s">
        <v>22</v>
      </c>
      <c r="D27" s="32" t="s">
        <v>6358</v>
      </c>
      <c r="E27" s="32" t="s">
        <v>6345</v>
      </c>
      <c r="F27" s="32" t="s">
        <v>22</v>
      </c>
      <c r="G27" s="32" t="s">
        <v>22</v>
      </c>
      <c r="H27" s="32" t="s">
        <v>22</v>
      </c>
      <c r="I27" s="32" t="s">
        <v>22</v>
      </c>
    </row>
    <row r="28" spans="1:9" ht="11.25" customHeight="1">
      <c r="A28" s="32" t="s">
        <v>1574</v>
      </c>
      <c r="B28" s="32" t="s">
        <v>6359</v>
      </c>
      <c r="C28" s="32" t="s">
        <v>22</v>
      </c>
      <c r="D28" s="32" t="s">
        <v>6326</v>
      </c>
      <c r="E28" s="32" t="s">
        <v>6360</v>
      </c>
      <c r="F28" s="32" t="s">
        <v>22</v>
      </c>
      <c r="G28" s="32" t="s">
        <v>22</v>
      </c>
      <c r="H28" s="32" t="s">
        <v>22</v>
      </c>
      <c r="I28" s="32" t="s">
        <v>22</v>
      </c>
    </row>
    <row r="29" spans="1:9" ht="11.25" customHeight="1">
      <c r="A29" s="32" t="s">
        <v>1576</v>
      </c>
      <c r="B29" s="32" t="s">
        <v>6361</v>
      </c>
      <c r="C29" s="32" t="s">
        <v>22</v>
      </c>
      <c r="D29" s="32" t="s">
        <v>6326</v>
      </c>
      <c r="E29" s="32" t="s">
        <v>6360</v>
      </c>
      <c r="F29" s="32" t="s">
        <v>22</v>
      </c>
      <c r="G29" s="32" t="s">
        <v>22</v>
      </c>
      <c r="H29" s="32" t="s">
        <v>22</v>
      </c>
      <c r="I29" s="32" t="s">
        <v>22</v>
      </c>
    </row>
    <row r="30" spans="1:9" ht="11.25" customHeight="1">
      <c r="A30" s="32" t="s">
        <v>1579</v>
      </c>
      <c r="B30" s="32" t="s">
        <v>6362</v>
      </c>
      <c r="C30" s="32" t="s">
        <v>22</v>
      </c>
      <c r="D30" s="32" t="s">
        <v>6326</v>
      </c>
      <c r="E30" s="32" t="s">
        <v>6327</v>
      </c>
      <c r="F30" s="32" t="s">
        <v>22</v>
      </c>
      <c r="G30" s="32" t="s">
        <v>22</v>
      </c>
      <c r="H30" s="32" t="s">
        <v>22</v>
      </c>
      <c r="I30" s="32" t="s">
        <v>22</v>
      </c>
    </row>
    <row r="31" spans="1:9" ht="11.25" customHeight="1">
      <c r="A31" s="32" t="s">
        <v>1585</v>
      </c>
      <c r="B31" s="32" t="s">
        <v>6363</v>
      </c>
      <c r="C31" s="32" t="s">
        <v>22</v>
      </c>
      <c r="D31" s="32" t="s">
        <v>6326</v>
      </c>
      <c r="E31" s="32" t="s">
        <v>6327</v>
      </c>
      <c r="F31" s="32" t="s">
        <v>22</v>
      </c>
      <c r="G31" s="32" t="s">
        <v>22</v>
      </c>
      <c r="H31" s="32" t="s">
        <v>22</v>
      </c>
      <c r="I31" s="32" t="s">
        <v>22</v>
      </c>
    </row>
    <row r="32" spans="1:9" ht="11.25" customHeight="1">
      <c r="A32" s="32" t="s">
        <v>1587</v>
      </c>
      <c r="B32" s="32" t="s">
        <v>6364</v>
      </c>
      <c r="C32" s="32" t="s">
        <v>22</v>
      </c>
      <c r="D32" s="32" t="s">
        <v>6326</v>
      </c>
      <c r="E32" s="32" t="s">
        <v>6327</v>
      </c>
      <c r="F32" s="32" t="s">
        <v>22</v>
      </c>
      <c r="G32" s="32" t="s">
        <v>22</v>
      </c>
      <c r="H32" s="32" t="s">
        <v>22</v>
      </c>
      <c r="I32" s="32" t="s">
        <v>22</v>
      </c>
    </row>
    <row r="33" spans="1:9" ht="11.25" customHeight="1">
      <c r="A33" s="32" t="s">
        <v>1589</v>
      </c>
      <c r="B33" s="32" t="s">
        <v>6365</v>
      </c>
      <c r="C33" s="32" t="s">
        <v>22</v>
      </c>
      <c r="D33" s="32" t="s">
        <v>6326</v>
      </c>
      <c r="E33" s="32" t="s">
        <v>6345</v>
      </c>
      <c r="F33" s="32" t="s">
        <v>22</v>
      </c>
      <c r="G33" s="32" t="s">
        <v>22</v>
      </c>
      <c r="H33" s="32" t="s">
        <v>22</v>
      </c>
      <c r="I33" s="32" t="s">
        <v>22</v>
      </c>
    </row>
    <row r="34" spans="1:9" ht="11.25" customHeight="1">
      <c r="A34" s="32" t="s">
        <v>1591</v>
      </c>
      <c r="B34" s="32" t="s">
        <v>6366</v>
      </c>
      <c r="C34" s="32" t="s">
        <v>22</v>
      </c>
      <c r="D34" s="32" t="s">
        <v>6326</v>
      </c>
      <c r="E34" s="32" t="s">
        <v>6327</v>
      </c>
      <c r="F34" s="32" t="s">
        <v>22</v>
      </c>
      <c r="G34" s="32" t="s">
        <v>22</v>
      </c>
      <c r="H34" s="32" t="s">
        <v>22</v>
      </c>
      <c r="I34" s="32" t="s">
        <v>22</v>
      </c>
    </row>
    <row r="35" spans="1:9" ht="11.25" customHeight="1">
      <c r="A35" s="32" t="s">
        <v>1596</v>
      </c>
      <c r="B35" s="32" t="s">
        <v>6367</v>
      </c>
      <c r="C35" s="32" t="s">
        <v>22</v>
      </c>
      <c r="D35" s="32" t="s">
        <v>6326</v>
      </c>
      <c r="E35" s="32" t="s">
        <v>6327</v>
      </c>
      <c r="F35" s="32" t="s">
        <v>22</v>
      </c>
      <c r="G35" s="32" t="s">
        <v>22</v>
      </c>
      <c r="H35" s="32" t="s">
        <v>22</v>
      </c>
      <c r="I35" s="32" t="s">
        <v>22</v>
      </c>
    </row>
    <row r="36" spans="1:9" ht="11.25" customHeight="1">
      <c r="A36" s="32" t="s">
        <v>1601</v>
      </c>
      <c r="B36" s="32" t="s">
        <v>6368</v>
      </c>
      <c r="C36" s="32" t="s">
        <v>22</v>
      </c>
      <c r="D36" s="32" t="s">
        <v>6326</v>
      </c>
      <c r="E36" s="32" t="s">
        <v>6327</v>
      </c>
      <c r="F36" s="32" t="s">
        <v>22</v>
      </c>
      <c r="G36" s="32" t="s">
        <v>22</v>
      </c>
      <c r="H36" s="32" t="s">
        <v>22</v>
      </c>
      <c r="I36" s="32" t="s">
        <v>22</v>
      </c>
    </row>
    <row r="37" spans="1:9" ht="11.25" customHeight="1">
      <c r="A37" s="32" t="s">
        <v>1605</v>
      </c>
      <c r="B37" s="32" t="s">
        <v>6369</v>
      </c>
      <c r="C37" s="32" t="s">
        <v>22</v>
      </c>
      <c r="D37" s="32" t="s">
        <v>6326</v>
      </c>
      <c r="E37" s="32" t="s">
        <v>6327</v>
      </c>
      <c r="F37" s="32" t="s">
        <v>22</v>
      </c>
      <c r="G37" s="32" t="s">
        <v>22</v>
      </c>
      <c r="H37" s="32" t="s">
        <v>22</v>
      </c>
      <c r="I37" s="32" t="s">
        <v>22</v>
      </c>
    </row>
    <row r="38" spans="1:9" ht="11.25" customHeight="1">
      <c r="A38" s="32" t="s">
        <v>1613</v>
      </c>
      <c r="B38" s="32" t="s">
        <v>6370</v>
      </c>
      <c r="C38" s="32" t="s">
        <v>22</v>
      </c>
      <c r="D38" s="32" t="s">
        <v>6326</v>
      </c>
      <c r="E38" s="32" t="s">
        <v>6345</v>
      </c>
      <c r="F38" s="32" t="s">
        <v>22</v>
      </c>
      <c r="G38" s="32" t="s">
        <v>22</v>
      </c>
      <c r="H38" s="32" t="s">
        <v>22</v>
      </c>
      <c r="I38" s="32" t="s">
        <v>22</v>
      </c>
    </row>
    <row r="39" spans="1:9" ht="11.25" customHeight="1">
      <c r="A39" s="32" t="s">
        <v>1619</v>
      </c>
      <c r="B39" s="32" t="s">
        <v>6371</v>
      </c>
      <c r="C39" s="32" t="s">
        <v>22</v>
      </c>
      <c r="D39" s="32" t="s">
        <v>6326</v>
      </c>
      <c r="E39" s="32" t="s">
        <v>6327</v>
      </c>
      <c r="F39" s="32" t="s">
        <v>22</v>
      </c>
      <c r="G39" s="32" t="s">
        <v>22</v>
      </c>
      <c r="H39" s="32" t="s">
        <v>22</v>
      </c>
      <c r="I39" s="32" t="s">
        <v>22</v>
      </c>
    </row>
    <row r="40" spans="1:9" ht="11.25" customHeight="1">
      <c r="A40" s="32" t="s">
        <v>1624</v>
      </c>
      <c r="B40" s="32" t="s">
        <v>6372</v>
      </c>
      <c r="C40" s="32" t="s">
        <v>22</v>
      </c>
      <c r="D40" s="32" t="s">
        <v>6326</v>
      </c>
      <c r="E40" s="32" t="s">
        <v>6345</v>
      </c>
      <c r="F40" s="32" t="s">
        <v>22</v>
      </c>
      <c r="G40" s="32" t="s">
        <v>22</v>
      </c>
      <c r="H40" s="32" t="s">
        <v>22</v>
      </c>
      <c r="I40" s="32" t="s">
        <v>22</v>
      </c>
    </row>
    <row r="41" spans="1:9" ht="11.25" customHeight="1">
      <c r="A41" s="32" t="s">
        <v>1628</v>
      </c>
      <c r="B41" s="32" t="s">
        <v>6373</v>
      </c>
      <c r="C41" s="32" t="s">
        <v>22</v>
      </c>
      <c r="D41" s="32" t="s">
        <v>6326</v>
      </c>
      <c r="E41" s="32" t="s">
        <v>6327</v>
      </c>
      <c r="F41" s="32" t="s">
        <v>22</v>
      </c>
      <c r="G41" s="32" t="s">
        <v>22</v>
      </c>
      <c r="H41" s="32" t="s">
        <v>22</v>
      </c>
      <c r="I41" s="32" t="s">
        <v>22</v>
      </c>
    </row>
    <row r="42" spans="1:9" ht="11.25" customHeight="1">
      <c r="A42" s="32" t="s">
        <v>1631</v>
      </c>
      <c r="B42" s="32" t="s">
        <v>6374</v>
      </c>
      <c r="C42" s="32" t="s">
        <v>22</v>
      </c>
      <c r="D42" s="32" t="s">
        <v>6326</v>
      </c>
      <c r="E42" s="32" t="s">
        <v>6360</v>
      </c>
      <c r="F42" s="32" t="s">
        <v>22</v>
      </c>
      <c r="G42" s="32" t="s">
        <v>22</v>
      </c>
      <c r="H42" s="32" t="s">
        <v>22</v>
      </c>
      <c r="I42" s="32" t="s">
        <v>22</v>
      </c>
    </row>
    <row r="43" spans="1:9" ht="11.25" customHeight="1">
      <c r="A43" s="32" t="s">
        <v>1638</v>
      </c>
      <c r="B43" s="32" t="s">
        <v>6375</v>
      </c>
      <c r="C43" s="32" t="s">
        <v>22</v>
      </c>
      <c r="D43" s="32" t="s">
        <v>6326</v>
      </c>
      <c r="E43" s="32" t="s">
        <v>6376</v>
      </c>
      <c r="F43" s="32" t="s">
        <v>22</v>
      </c>
      <c r="G43" s="32" t="s">
        <v>22</v>
      </c>
      <c r="H43" s="32" t="s">
        <v>22</v>
      </c>
      <c r="I43" s="32" t="s">
        <v>22</v>
      </c>
    </row>
    <row r="44" spans="1:9" ht="11.25" customHeight="1">
      <c r="A44" s="32" t="s">
        <v>1647</v>
      </c>
      <c r="B44" s="32" t="s">
        <v>6377</v>
      </c>
      <c r="C44" s="32" t="s">
        <v>22</v>
      </c>
      <c r="D44" s="32" t="s">
        <v>6326</v>
      </c>
      <c r="E44" s="32" t="s">
        <v>6376</v>
      </c>
      <c r="F44" s="32" t="s">
        <v>22</v>
      </c>
      <c r="G44" s="32" t="s">
        <v>22</v>
      </c>
      <c r="H44" s="32" t="s">
        <v>22</v>
      </c>
      <c r="I44" s="32" t="s">
        <v>22</v>
      </c>
    </row>
    <row r="45" spans="1:9" ht="11.25" customHeight="1">
      <c r="A45" s="32" t="s">
        <v>1652</v>
      </c>
      <c r="B45" s="32" t="s">
        <v>6378</v>
      </c>
      <c r="C45" s="32" t="s">
        <v>22</v>
      </c>
      <c r="D45" s="32" t="s">
        <v>6326</v>
      </c>
      <c r="E45" s="32" t="s">
        <v>6376</v>
      </c>
      <c r="F45" s="32" t="s">
        <v>22</v>
      </c>
      <c r="G45" s="32" t="s">
        <v>22</v>
      </c>
      <c r="H45" s="32" t="s">
        <v>22</v>
      </c>
      <c r="I45" s="32" t="s">
        <v>22</v>
      </c>
    </row>
    <row r="46" spans="1:9" ht="11.25" customHeight="1">
      <c r="A46" s="32" t="s">
        <v>1655</v>
      </c>
      <c r="B46" s="32" t="s">
        <v>6379</v>
      </c>
      <c r="C46" s="32" t="s">
        <v>22</v>
      </c>
      <c r="D46" s="32" t="s">
        <v>6326</v>
      </c>
      <c r="E46" s="32" t="s">
        <v>6376</v>
      </c>
      <c r="F46" s="32" t="s">
        <v>22</v>
      </c>
      <c r="G46" s="32" t="s">
        <v>22</v>
      </c>
      <c r="H46" s="32" t="s">
        <v>22</v>
      </c>
      <c r="I46" s="32" t="s">
        <v>22</v>
      </c>
    </row>
    <row r="47" spans="1:9" ht="11.25" customHeight="1">
      <c r="A47" s="32" t="s">
        <v>1661</v>
      </c>
      <c r="B47" s="32" t="s">
        <v>6380</v>
      </c>
      <c r="C47" s="32" t="s">
        <v>22</v>
      </c>
      <c r="D47" s="32" t="s">
        <v>6358</v>
      </c>
      <c r="E47" s="32" t="s">
        <v>6345</v>
      </c>
      <c r="F47" s="32" t="s">
        <v>22</v>
      </c>
      <c r="G47" s="32" t="s">
        <v>22</v>
      </c>
      <c r="H47" s="32" t="s">
        <v>22</v>
      </c>
      <c r="I47" s="32" t="s">
        <v>22</v>
      </c>
    </row>
    <row r="48" spans="1:9" ht="11.25" customHeight="1">
      <c r="A48" s="32" t="s">
        <v>1666</v>
      </c>
      <c r="B48" s="32" t="s">
        <v>6381</v>
      </c>
      <c r="C48" s="32" t="s">
        <v>22</v>
      </c>
      <c r="D48" s="32" t="s">
        <v>6358</v>
      </c>
      <c r="E48" s="32" t="s">
        <v>6345</v>
      </c>
      <c r="F48" s="32" t="s">
        <v>22</v>
      </c>
      <c r="G48" s="32" t="s">
        <v>22</v>
      </c>
      <c r="H48" s="32" t="s">
        <v>22</v>
      </c>
      <c r="I48" s="32" t="s">
        <v>22</v>
      </c>
    </row>
    <row r="49" spans="1:9" ht="11.25" customHeight="1">
      <c r="A49" s="32" t="s">
        <v>1669</v>
      </c>
      <c r="B49" s="32" t="s">
        <v>6382</v>
      </c>
      <c r="C49" s="32" t="s">
        <v>22</v>
      </c>
      <c r="D49" s="32" t="s">
        <v>6358</v>
      </c>
      <c r="E49" s="32" t="s">
        <v>6345</v>
      </c>
      <c r="F49" s="32" t="s">
        <v>22</v>
      </c>
      <c r="G49" s="32" t="s">
        <v>22</v>
      </c>
      <c r="H49" s="32" t="s">
        <v>22</v>
      </c>
      <c r="I49" s="32" t="s">
        <v>22</v>
      </c>
    </row>
    <row r="50" spans="1:9" ht="11.25" customHeight="1">
      <c r="A50" s="32" t="s">
        <v>1673</v>
      </c>
      <c r="B50" s="32" t="s">
        <v>6383</v>
      </c>
      <c r="C50" s="32" t="s">
        <v>22</v>
      </c>
      <c r="D50" s="32" t="s">
        <v>6358</v>
      </c>
      <c r="E50" s="32" t="s">
        <v>6356</v>
      </c>
      <c r="F50" s="32" t="s">
        <v>22</v>
      </c>
      <c r="G50" s="32" t="s">
        <v>22</v>
      </c>
      <c r="H50" s="32" t="s">
        <v>22</v>
      </c>
      <c r="I50" s="32" t="s">
        <v>22</v>
      </c>
    </row>
    <row r="51" spans="1:9" ht="11.25" customHeight="1">
      <c r="A51" s="32" t="s">
        <v>1678</v>
      </c>
      <c r="B51" s="32" t="s">
        <v>6384</v>
      </c>
      <c r="C51" s="32" t="s">
        <v>22</v>
      </c>
      <c r="D51" s="32" t="s">
        <v>6358</v>
      </c>
      <c r="E51" s="32" t="s">
        <v>6356</v>
      </c>
      <c r="F51" s="32" t="s">
        <v>22</v>
      </c>
      <c r="G51" s="32" t="s">
        <v>22</v>
      </c>
      <c r="H51" s="32" t="s">
        <v>22</v>
      </c>
      <c r="I51" s="32" t="s">
        <v>22</v>
      </c>
    </row>
    <row r="52" spans="1:9" ht="11.25" customHeight="1">
      <c r="A52" s="32" t="s">
        <v>1682</v>
      </c>
      <c r="B52" s="32" t="s">
        <v>6385</v>
      </c>
      <c r="C52" s="32" t="s">
        <v>22</v>
      </c>
      <c r="D52" s="32" t="s">
        <v>6358</v>
      </c>
      <c r="E52" s="32" t="s">
        <v>6345</v>
      </c>
      <c r="F52" s="32" t="s">
        <v>22</v>
      </c>
      <c r="G52" s="32" t="s">
        <v>22</v>
      </c>
      <c r="H52" s="32" t="s">
        <v>22</v>
      </c>
      <c r="I52" s="32" t="s">
        <v>22</v>
      </c>
    </row>
    <row r="53" spans="1:9" ht="11.25" customHeight="1">
      <c r="A53" s="32" t="s">
        <v>1684</v>
      </c>
      <c r="B53" s="32" t="s">
        <v>6386</v>
      </c>
      <c r="C53" s="32" t="s">
        <v>22</v>
      </c>
      <c r="D53" s="32" t="s">
        <v>6358</v>
      </c>
      <c r="E53" s="32" t="s">
        <v>6345</v>
      </c>
      <c r="F53" s="32" t="s">
        <v>22</v>
      </c>
      <c r="G53" s="32" t="s">
        <v>22</v>
      </c>
      <c r="H53" s="32" t="s">
        <v>22</v>
      </c>
      <c r="I53" s="32" t="s">
        <v>22</v>
      </c>
    </row>
    <row r="54" spans="1:9" ht="11.25" customHeight="1">
      <c r="A54" s="32" t="s">
        <v>1687</v>
      </c>
      <c r="B54" s="32" t="s">
        <v>6387</v>
      </c>
      <c r="C54" s="32" t="s">
        <v>22</v>
      </c>
      <c r="D54" s="32" t="s">
        <v>6358</v>
      </c>
      <c r="E54" s="32" t="s">
        <v>6345</v>
      </c>
      <c r="F54" s="32" t="s">
        <v>22</v>
      </c>
      <c r="G54" s="32" t="s">
        <v>22</v>
      </c>
      <c r="H54" s="32" t="s">
        <v>22</v>
      </c>
      <c r="I54" s="32" t="s">
        <v>22</v>
      </c>
    </row>
    <row r="55" spans="1:9" ht="11.25" customHeight="1">
      <c r="A55" s="32" t="s">
        <v>1691</v>
      </c>
      <c r="B55" s="32" t="s">
        <v>6388</v>
      </c>
      <c r="C55" s="32" t="s">
        <v>22</v>
      </c>
      <c r="D55" s="32" t="s">
        <v>6326</v>
      </c>
      <c r="E55" s="32" t="s">
        <v>6327</v>
      </c>
      <c r="F55" s="32" t="s">
        <v>22</v>
      </c>
      <c r="G55" s="32" t="s">
        <v>22</v>
      </c>
      <c r="H55" s="32" t="s">
        <v>22</v>
      </c>
      <c r="I55" s="32" t="s">
        <v>22</v>
      </c>
    </row>
    <row r="56" spans="1:9" ht="11.25" customHeight="1">
      <c r="A56" s="32" t="s">
        <v>1694</v>
      </c>
      <c r="B56" s="32" t="s">
        <v>6389</v>
      </c>
      <c r="C56" s="32" t="s">
        <v>22</v>
      </c>
      <c r="D56" s="32" t="s">
        <v>6390</v>
      </c>
      <c r="E56" s="32" t="s">
        <v>6330</v>
      </c>
      <c r="F56" s="32" t="s">
        <v>22</v>
      </c>
      <c r="G56" s="32" t="s">
        <v>22</v>
      </c>
      <c r="H56" s="32" t="s">
        <v>22</v>
      </c>
      <c r="I56" s="32" t="s">
        <v>22</v>
      </c>
    </row>
    <row r="57" spans="1:9" ht="11.25" customHeight="1">
      <c r="A57" s="32" t="s">
        <v>1697</v>
      </c>
      <c r="B57" s="32" t="s">
        <v>6391</v>
      </c>
      <c r="C57" s="32" t="s">
        <v>22</v>
      </c>
      <c r="D57" s="32" t="s">
        <v>6329</v>
      </c>
      <c r="E57" s="32" t="s">
        <v>6324</v>
      </c>
      <c r="F57" s="32" t="s">
        <v>22</v>
      </c>
      <c r="G57" s="32" t="s">
        <v>22</v>
      </c>
      <c r="H57" s="32" t="s">
        <v>22</v>
      </c>
      <c r="I57" s="32" t="s">
        <v>22</v>
      </c>
    </row>
    <row r="58" spans="1:9" ht="11.25" customHeight="1">
      <c r="A58" s="32" t="s">
        <v>1700</v>
      </c>
      <c r="B58" s="32" t="s">
        <v>6392</v>
      </c>
      <c r="C58" s="32" t="s">
        <v>22</v>
      </c>
      <c r="D58" s="32" t="s">
        <v>6329</v>
      </c>
      <c r="E58" s="32" t="s">
        <v>6330</v>
      </c>
      <c r="F58" s="32" t="s">
        <v>22</v>
      </c>
      <c r="G58" s="32" t="s">
        <v>22</v>
      </c>
      <c r="H58" s="32" t="s">
        <v>22</v>
      </c>
      <c r="I58" s="32" t="s">
        <v>22</v>
      </c>
    </row>
    <row r="59" spans="1:9" ht="11.25" customHeight="1">
      <c r="A59" s="32" t="s">
        <v>1704</v>
      </c>
      <c r="B59" s="32" t="s">
        <v>6393</v>
      </c>
      <c r="C59" s="32" t="s">
        <v>22</v>
      </c>
      <c r="D59" s="32" t="s">
        <v>6332</v>
      </c>
      <c r="E59" s="32" t="s">
        <v>6324</v>
      </c>
      <c r="F59" s="32" t="s">
        <v>22</v>
      </c>
      <c r="G59" s="32" t="s">
        <v>22</v>
      </c>
      <c r="H59" s="32" t="s">
        <v>22</v>
      </c>
      <c r="I59" s="32" t="s">
        <v>22</v>
      </c>
    </row>
    <row r="60" spans="1:9" ht="11.25" customHeight="1">
      <c r="A60" s="32" t="s">
        <v>1707</v>
      </c>
      <c r="B60" s="32" t="s">
        <v>6394</v>
      </c>
      <c r="C60" s="32" t="s">
        <v>22</v>
      </c>
      <c r="D60" s="32" t="s">
        <v>6395</v>
      </c>
      <c r="E60" s="32" t="s">
        <v>6330</v>
      </c>
      <c r="F60" s="32" t="s">
        <v>22</v>
      </c>
      <c r="G60" s="32" t="s">
        <v>22</v>
      </c>
      <c r="H60" s="32" t="s">
        <v>22</v>
      </c>
      <c r="I60" s="32" t="s">
        <v>22</v>
      </c>
    </row>
    <row r="61" spans="1:9" ht="11.25" customHeight="1">
      <c r="A61" s="32" t="s">
        <v>3666</v>
      </c>
      <c r="B61" s="32" t="s">
        <v>6396</v>
      </c>
      <c r="C61" s="32" t="s">
        <v>22</v>
      </c>
      <c r="D61" s="32" t="s">
        <v>6390</v>
      </c>
      <c r="E61" s="32" t="s">
        <v>6337</v>
      </c>
      <c r="F61" s="32" t="s">
        <v>22</v>
      </c>
      <c r="G61" s="32" t="s">
        <v>22</v>
      </c>
      <c r="H61" s="32" t="s">
        <v>22</v>
      </c>
      <c r="I61" s="32" t="s">
        <v>22</v>
      </c>
    </row>
    <row r="62" spans="1:9" ht="11.25" customHeight="1">
      <c r="A62" s="32" t="s">
        <v>3669</v>
      </c>
      <c r="B62" s="32" t="s">
        <v>6397</v>
      </c>
      <c r="C62" s="32" t="s">
        <v>22</v>
      </c>
      <c r="D62" s="32" t="s">
        <v>6329</v>
      </c>
      <c r="E62" s="32" t="s">
        <v>6330</v>
      </c>
      <c r="F62" s="32" t="s">
        <v>22</v>
      </c>
      <c r="G62" s="32" t="s">
        <v>22</v>
      </c>
      <c r="H62" s="32" t="s">
        <v>22</v>
      </c>
      <c r="I62" s="32" t="s">
        <v>22</v>
      </c>
    </row>
    <row r="63" spans="1:9" ht="11.25" customHeight="1">
      <c r="A63" s="32" t="s">
        <v>3672</v>
      </c>
      <c r="B63" s="32" t="s">
        <v>6398</v>
      </c>
      <c r="C63" s="32" t="s">
        <v>22</v>
      </c>
      <c r="D63" s="32" t="s">
        <v>6329</v>
      </c>
      <c r="E63" s="32" t="s">
        <v>6399</v>
      </c>
      <c r="F63" s="32" t="s">
        <v>22</v>
      </c>
      <c r="G63" s="32" t="s">
        <v>22</v>
      </c>
      <c r="H63" s="32" t="s">
        <v>22</v>
      </c>
      <c r="I63"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B0D27-69AB-6512-8621-EC8F884FA6D2}">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51048-1674-2475-D4B5-40D19D1E8CE6}">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48" style="11" customWidth="1"/>
    <col min="6" max="6" width="38" style="11" customWidth="1"/>
    <col min="7" max="7" width="1.7109375" style="11" hidden="1" customWidth="1"/>
    <col min="8" max="11" width="19.85546875" style="11" customWidth="1"/>
    <col min="12" max="12" width="9.7109375" style="11" customWidth="1"/>
    <col min="13" max="18" width="19.85546875" style="11" customWidth="1"/>
    <col min="19" max="19" width="1.7109375" style="11" hidden="1" customWidth="1"/>
    <col min="20" max="22" width="19.85546875" style="11" hidden="1" customWidth="1"/>
    <col min="23" max="23" width="1.7109375" style="11" hidden="1" customWidth="1"/>
    <col min="24" max="26" width="19.85546875" style="11" hidden="1" customWidth="1"/>
    <col min="27" max="27" width="1.7109375" style="11" hidden="1" customWidth="1"/>
    <col min="28" max="29" width="19.85546875" style="11" hidden="1" customWidth="1"/>
    <col min="30" max="30" width="1.7109375" style="11" hidden="1" customWidth="1"/>
    <col min="31" max="31" width="103.7109375" style="11" customWidth="1"/>
    <col min="32" max="34" width="103.7109375" style="11" hidden="1" customWidth="1"/>
    <col min="35" max="35" width="3" style="45" customWidth="1"/>
    <col min="36" max="38" width="10" style="68" customWidth="1"/>
    <col min="39" max="39" width="13.7109375" style="68" hidden="1" customWidth="1"/>
    <col min="40" max="40" width="15" style="68" customWidth="1"/>
    <col min="41" max="41" width="16" style="68" customWidth="1"/>
    <col min="42" max="45" width="10" style="68" customWidth="1"/>
    <col min="46" max="46" width="10.5703125" style="11" hidden="1"/>
  </cols>
  <sheetData>
    <row r="1" spans="1:46" ht="22.5" hidden="1" customHeight="1">
      <c r="E1" s="235"/>
      <c r="F1" s="235"/>
      <c r="G1" s="235"/>
      <c r="H1" s="1133" t="s">
        <v>356</v>
      </c>
      <c r="I1" s="1133"/>
      <c r="J1" s="1133"/>
      <c r="K1" s="1133"/>
      <c r="L1" s="1133"/>
      <c r="M1" s="1133"/>
      <c r="N1" s="1133"/>
      <c r="O1" s="1133"/>
      <c r="P1" s="1133"/>
      <c r="Q1" s="1133"/>
      <c r="R1" s="1133"/>
      <c r="T1" s="1133" t="s">
        <v>357</v>
      </c>
      <c r="U1" s="1133"/>
      <c r="V1" s="1133"/>
      <c r="X1" s="1133" t="s">
        <v>358</v>
      </c>
      <c r="Y1" s="1133"/>
      <c r="Z1" s="1133"/>
      <c r="AB1" s="1133" t="s">
        <v>359</v>
      </c>
      <c r="AC1" s="1133"/>
      <c r="AT1" s="11" t="s">
        <v>14</v>
      </c>
    </row>
    <row r="2" spans="1:46" ht="14.25" hidden="1" customHeight="1">
      <c r="AT2" s="11">
        <v>0</v>
      </c>
    </row>
    <row r="3" spans="1:46" s="404" customFormat="1" ht="5.25" customHeight="1">
      <c r="C3" s="405"/>
      <c r="D3" s="406"/>
      <c r="E3" s="406"/>
      <c r="F3" s="406"/>
      <c r="G3" s="406"/>
      <c r="H3" s="406" t="s">
        <v>360</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19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1199"/>
      <c r="F4" s="1199"/>
      <c r="G4" s="1199"/>
      <c r="H4" s="1199"/>
      <c r="I4" s="1199"/>
      <c r="J4" s="1199"/>
      <c r="K4" s="1199"/>
      <c r="L4" s="1199"/>
      <c r="M4" s="1199"/>
      <c r="N4" s="1199"/>
      <c r="O4" s="1199"/>
      <c r="P4" s="1199"/>
      <c r="Q4" s="1199"/>
      <c r="R4" s="1200"/>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51" t="str">
        <f>IF(org=0,"Не определено",org)</f>
        <v>ООО "Инженерные сети"</v>
      </c>
      <c r="E5" s="1252"/>
      <c r="F5" s="1252"/>
      <c r="G5" s="1252"/>
      <c r="H5" s="1252"/>
      <c r="I5" s="1252"/>
      <c r="J5" s="1252"/>
      <c r="K5" s="1252"/>
      <c r="L5" s="1252"/>
      <c r="M5" s="1252"/>
      <c r="N5" s="1252"/>
      <c r="O5" s="1252"/>
      <c r="P5" s="1252"/>
      <c r="Q5" s="1252"/>
      <c r="R5" s="1253"/>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4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65" customHeight="1">
      <c r="C7" s="23"/>
      <c r="D7" s="1242" t="s">
        <v>304</v>
      </c>
      <c r="E7" s="125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5"/>
      <c r="AE7" s="1205" t="s">
        <v>305</v>
      </c>
      <c r="AF7" s="1205" t="s">
        <v>305</v>
      </c>
      <c r="AG7" s="1205" t="s">
        <v>305</v>
      </c>
      <c r="AH7" s="1205" t="s">
        <v>305</v>
      </c>
      <c r="AT7" s="11">
        <v>14</v>
      </c>
    </row>
    <row r="8" spans="1:46" ht="27.4" customHeight="1">
      <c r="C8" s="23"/>
      <c r="D8" s="1148" t="s">
        <v>88</v>
      </c>
      <c r="E8" s="1205" t="str">
        <f>"Наименование "&amp;IF(TEMPLATE_SPHERE&lt;&gt;"HEAT","централизованной ","")&amp;"системы "&amp;TEMPLATE_SPHERE_RUS</f>
        <v>Наименование системы теплоснабжения</v>
      </c>
      <c r="F8" s="1205" t="str">
        <f>IF(TEMPLATE_SPHERE&lt;&gt;"HEAT","Регулируемый вид деятельности","Вид регулируемой деятельности")</f>
        <v>Вид регулируемой деятельности</v>
      </c>
      <c r="G8" s="472"/>
      <c r="H8" s="1243" t="s">
        <v>361</v>
      </c>
      <c r="I8" s="1247" t="s">
        <v>362</v>
      </c>
      <c r="J8" s="1205" t="s">
        <v>363</v>
      </c>
      <c r="K8" s="1205"/>
      <c r="L8" s="1205"/>
      <c r="M8" s="1242"/>
      <c r="N8" s="1205" t="s">
        <v>364</v>
      </c>
      <c r="O8" s="1205"/>
      <c r="P8" s="1205" t="s">
        <v>365</v>
      </c>
      <c r="Q8" s="1205"/>
      <c r="R8" s="1245" t="s">
        <v>366</v>
      </c>
      <c r="S8" s="470"/>
      <c r="T8" s="1243" t="s">
        <v>367</v>
      </c>
      <c r="U8" s="1243" t="s">
        <v>368</v>
      </c>
      <c r="V8" s="1243" t="s">
        <v>369</v>
      </c>
      <c r="W8" s="472"/>
      <c r="X8" s="1243" t="s">
        <v>370</v>
      </c>
      <c r="Y8" s="1243" t="s">
        <v>371</v>
      </c>
      <c r="Z8" s="1243" t="s">
        <v>372</v>
      </c>
      <c r="AA8" s="472"/>
      <c r="AB8" s="1243" t="s">
        <v>373</v>
      </c>
      <c r="AC8" s="1243" t="s">
        <v>366</v>
      </c>
      <c r="AD8" s="472"/>
      <c r="AE8" s="1205"/>
      <c r="AF8" s="1205"/>
      <c r="AG8" s="1205"/>
      <c r="AH8" s="1205"/>
      <c r="AT8" s="11">
        <v>26</v>
      </c>
    </row>
    <row r="9" spans="1:46" ht="46.15" customHeight="1">
      <c r="C9" s="23"/>
      <c r="D9" s="1148"/>
      <c r="E9" s="1205"/>
      <c r="F9" s="1205"/>
      <c r="G9" s="473"/>
      <c r="H9" s="1244"/>
      <c r="I9" s="1248"/>
      <c r="J9" s="39" t="s">
        <v>374</v>
      </c>
      <c r="K9" s="39" t="s">
        <v>375</v>
      </c>
      <c r="L9" s="39" t="s">
        <v>376</v>
      </c>
      <c r="M9" s="239" t="s">
        <v>377</v>
      </c>
      <c r="N9" s="39" t="s">
        <v>378</v>
      </c>
      <c r="O9" s="39" t="s">
        <v>377</v>
      </c>
      <c r="P9" s="39" t="s">
        <v>379</v>
      </c>
      <c r="Q9" s="39" t="s">
        <v>377</v>
      </c>
      <c r="R9" s="1246"/>
      <c r="S9" s="471"/>
      <c r="T9" s="1244"/>
      <c r="U9" s="1244"/>
      <c r="V9" s="1244"/>
      <c r="W9" s="473"/>
      <c r="X9" s="1244"/>
      <c r="Y9" s="1244"/>
      <c r="Z9" s="1244"/>
      <c r="AA9" s="473"/>
      <c r="AB9" s="1244"/>
      <c r="AC9" s="1244"/>
      <c r="AD9" s="473"/>
      <c r="AE9" s="1205"/>
      <c r="AF9" s="1205"/>
      <c r="AG9" s="1205"/>
      <c r="AH9" s="1205"/>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380</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65" customHeight="1">
      <c r="A12" s="11"/>
      <c r="C12" s="23"/>
      <c r="D12" s="242" t="s">
        <v>115</v>
      </c>
      <c r="E12" s="402" t="s">
        <v>22</v>
      </c>
      <c r="F12" s="492"/>
      <c r="G12" s="493"/>
      <c r="H12" s="366"/>
      <c r="I12" s="366"/>
      <c r="J12" s="241"/>
      <c r="K12" s="1007"/>
      <c r="L12" s="240"/>
      <c r="M12" s="1007"/>
      <c r="N12" s="241"/>
      <c r="O12" s="1007"/>
      <c r="P12" s="241"/>
      <c r="Q12" s="1007"/>
      <c r="R12" s="241"/>
      <c r="S12" s="491"/>
      <c r="T12" s="366"/>
      <c r="U12" s="241"/>
      <c r="V12" s="241"/>
      <c r="W12" s="473"/>
      <c r="X12" s="366"/>
      <c r="Y12" s="241"/>
      <c r="Z12" s="241"/>
      <c r="AA12" s="473"/>
      <c r="AB12" s="366"/>
      <c r="AC12" s="241"/>
      <c r="AD12" s="473"/>
      <c r="AE12" s="1249" t="s">
        <v>381</v>
      </c>
      <c r="AF12" s="1249" t="s">
        <v>382</v>
      </c>
      <c r="AG12" s="1249" t="s">
        <v>383</v>
      </c>
      <c r="AH12" s="1249" t="s">
        <v>384</v>
      </c>
      <c r="AI12" s="11"/>
      <c r="AP12" s="69" t="s">
        <v>385</v>
      </c>
      <c r="AQ12" s="69" t="s">
        <v>385</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50"/>
      <c r="AF13" s="1250"/>
      <c r="AG13" s="1250"/>
      <c r="AH13" s="1250"/>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82</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061B4-570B-3BDF-950F-B0148817A29A}">
  <sheetPr>
    <tabColor rgb="FFFFCC99"/>
  </sheetPr>
  <dimension ref="A1:B2"/>
  <sheetViews>
    <sheetView showGridLines="0" workbookViewId="0"/>
  </sheetViews>
  <sheetFormatPr defaultColWidth="9.140625" defaultRowHeight="11.25" customHeight="1"/>
  <cols>
    <col min="1" max="2" width="9.140625" style="94"/>
  </cols>
  <sheetData>
    <row r="1" spans="1:2" ht="11.25" customHeight="1">
      <c r="A1" s="94" t="s">
        <v>136</v>
      </c>
      <c r="B1" s="94" t="s">
        <v>6400</v>
      </c>
    </row>
    <row r="2" spans="1:2" ht="11.25" customHeight="1">
      <c r="A2" s="94" t="s">
        <v>98</v>
      </c>
      <c r="B2" s="94" t="s">
        <v>6401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1EEB6-A965-8FE7-5AA3-919B96C5F3A6}">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6402</v>
      </c>
      <c r="B1" s="32" t="s">
        <v>6403</v>
      </c>
    </row>
    <row r="2" spans="1:2" ht="11.25" customHeight="1">
      <c r="A2" s="32">
        <v>4213775</v>
      </c>
      <c r="B2" s="32" t="s">
        <v>1225</v>
      </c>
    </row>
    <row r="3" spans="1:2" ht="11.25" customHeight="1">
      <c r="A3" s="32">
        <v>4213784</v>
      </c>
      <c r="B3" s="32" t="s">
        <v>1258</v>
      </c>
    </row>
    <row r="4" spans="1:2" ht="11.25" customHeight="1">
      <c r="A4" s="32">
        <v>4213781</v>
      </c>
      <c r="B4" s="32" t="s">
        <v>1251</v>
      </c>
    </row>
    <row r="5" spans="1:2" ht="11.25" customHeight="1">
      <c r="A5" s="32">
        <v>4213776</v>
      </c>
      <c r="B5" s="32" t="s">
        <v>172</v>
      </c>
    </row>
    <row r="6" spans="1:2" ht="11.25" customHeight="1">
      <c r="A6" s="32">
        <v>4213777</v>
      </c>
      <c r="B6" s="32" t="s">
        <v>178</v>
      </c>
    </row>
    <row r="7" spans="1:2" ht="11.25" customHeight="1">
      <c r="A7" s="32">
        <v>4213778</v>
      </c>
      <c r="B7" s="32" t="s">
        <v>184</v>
      </c>
    </row>
    <row r="8" spans="1:2" ht="11.25" customHeight="1">
      <c r="A8" s="32">
        <v>4213780</v>
      </c>
      <c r="B8" s="32" t="s">
        <v>190</v>
      </c>
    </row>
    <row r="9" spans="1:2" ht="11.25" customHeight="1">
      <c r="A9" s="32">
        <v>4213779</v>
      </c>
      <c r="B9" s="32" t="s">
        <v>1391</v>
      </c>
    </row>
    <row r="10" spans="1:2" ht="11.25" customHeight="1">
      <c r="A10" s="32">
        <v>4213783</v>
      </c>
      <c r="B10" s="32" t="s">
        <v>1406</v>
      </c>
    </row>
    <row r="11" spans="1:2" ht="11.25" customHeight="1">
      <c r="A11" s="32">
        <v>4213782</v>
      </c>
      <c r="B11" s="32"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C6A5F-6497-E031-4682-6D5596120C72}">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6402</v>
      </c>
      <c r="B1" s="32" t="s">
        <v>6404</v>
      </c>
    </row>
    <row r="2" spans="1:2" ht="11.25" customHeight="1">
      <c r="A2" s="32" t="s">
        <v>123</v>
      </c>
      <c r="B2" s="32" t="s">
        <v>1504</v>
      </c>
    </row>
    <row r="3" spans="1:2" ht="11.25" customHeight="1">
      <c r="A3" s="32" t="s">
        <v>6405</v>
      </c>
      <c r="B3" s="32" t="s">
        <v>1514</v>
      </c>
    </row>
    <row r="4" spans="1:2" ht="11.25" customHeight="1">
      <c r="A4" s="32" t="s">
        <v>6406</v>
      </c>
      <c r="B4" s="32" t="s">
        <v>1523</v>
      </c>
    </row>
    <row r="5" spans="1:2" ht="11.25" customHeight="1">
      <c r="A5" s="32" t="s">
        <v>6407</v>
      </c>
      <c r="B5" s="32" t="s">
        <v>1532</v>
      </c>
    </row>
    <row r="6" spans="1:2" ht="11.25" customHeight="1">
      <c r="A6" s="32" t="s">
        <v>6408</v>
      </c>
      <c r="B6" s="32" t="s">
        <v>1538</v>
      </c>
    </row>
    <row r="7" spans="1:2" ht="11.25" customHeight="1">
      <c r="A7" s="32" t="s">
        <v>6409</v>
      </c>
      <c r="B7" s="32" t="s">
        <v>1546</v>
      </c>
    </row>
    <row r="8" spans="1:2" ht="11.25" customHeight="1">
      <c r="A8" s="32" t="s">
        <v>6410</v>
      </c>
      <c r="B8" s="32" t="s">
        <v>1553</v>
      </c>
    </row>
    <row r="9" spans="1:2" ht="11.25" customHeight="1">
      <c r="A9" s="32" t="s">
        <v>6411</v>
      </c>
      <c r="B9" s="32" t="s">
        <v>1559</v>
      </c>
    </row>
    <row r="10" spans="1:2" ht="11.25" customHeight="1">
      <c r="A10" s="32" t="s">
        <v>6412</v>
      </c>
      <c r="B10" s="32" t="s">
        <v>1563</v>
      </c>
    </row>
    <row r="11" spans="1:2" ht="11.25" customHeight="1">
      <c r="A11" s="32" t="s">
        <v>6413</v>
      </c>
      <c r="B11" s="32" t="s">
        <v>1570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8AFD4-DDE9-205E-3FD8-F366489075E9}">
  <sheetPr>
    <tabColor rgb="FFFFCC99"/>
  </sheetPr>
  <dimension ref="A1:G956"/>
  <sheetViews>
    <sheetView showGridLines="0" workbookViewId="0"/>
  </sheetViews>
  <sheetFormatPr defaultRowHeight="11.25" customHeight="1"/>
  <sheetData>
    <row r="1" spans="1:7" ht="11.25" customHeight="1">
      <c r="A1" t="s">
        <v>3535</v>
      </c>
      <c r="B1" t="s">
        <v>3536</v>
      </c>
      <c r="C1" t="s">
        <v>3537</v>
      </c>
      <c r="D1" t="s">
        <v>3538</v>
      </c>
      <c r="E1" t="s">
        <v>3539</v>
      </c>
      <c r="F1" t="s">
        <v>3540</v>
      </c>
      <c r="G1" t="s">
        <v>3541</v>
      </c>
    </row>
    <row r="2" spans="1:7" ht="11.25" customHeight="1">
      <c r="A2" t="s">
        <v>16</v>
      </c>
      <c r="B2" t="s">
        <v>3542</v>
      </c>
      <c r="C2" t="s">
        <v>3543</v>
      </c>
      <c r="D2" t="s">
        <v>3542</v>
      </c>
      <c r="E2" t="s">
        <v>3543</v>
      </c>
      <c r="F2" t="s">
        <v>3544</v>
      </c>
      <c r="G2" t="s">
        <v>115</v>
      </c>
    </row>
    <row r="3" spans="1:7" ht="11.25" customHeight="1">
      <c r="A3" t="s">
        <v>16</v>
      </c>
      <c r="B3" t="s">
        <v>3542</v>
      </c>
      <c r="C3" t="s">
        <v>3543</v>
      </c>
      <c r="D3" t="s">
        <v>3545</v>
      </c>
      <c r="E3" t="s">
        <v>3546</v>
      </c>
      <c r="F3" t="s">
        <v>3547</v>
      </c>
      <c r="G3" t="s">
        <v>103</v>
      </c>
    </row>
    <row r="4" spans="1:7" ht="11.25" customHeight="1">
      <c r="A4" t="s">
        <v>16</v>
      </c>
      <c r="B4" t="s">
        <v>3542</v>
      </c>
      <c r="C4" t="s">
        <v>3543</v>
      </c>
      <c r="D4" t="s">
        <v>3548</v>
      </c>
      <c r="E4" t="s">
        <v>3549</v>
      </c>
      <c r="F4" t="s">
        <v>3547</v>
      </c>
      <c r="G4" t="s">
        <v>90</v>
      </c>
    </row>
    <row r="5" spans="1:7" ht="11.25" customHeight="1">
      <c r="A5" t="s">
        <v>16</v>
      </c>
      <c r="B5" t="s">
        <v>3542</v>
      </c>
      <c r="C5" t="s">
        <v>3543</v>
      </c>
      <c r="D5" t="s">
        <v>3550</v>
      </c>
      <c r="E5" t="s">
        <v>3551</v>
      </c>
      <c r="F5" t="s">
        <v>3552</v>
      </c>
      <c r="G5" t="s">
        <v>91</v>
      </c>
    </row>
    <row r="6" spans="1:7" ht="11.25" customHeight="1">
      <c r="A6" t="s">
        <v>16</v>
      </c>
      <c r="B6" t="s">
        <v>3542</v>
      </c>
      <c r="C6" t="s">
        <v>3543</v>
      </c>
      <c r="D6" t="s">
        <v>3553</v>
      </c>
      <c r="E6" t="s">
        <v>3554</v>
      </c>
      <c r="F6" t="s">
        <v>3547</v>
      </c>
      <c r="G6" t="s">
        <v>116</v>
      </c>
    </row>
    <row r="7" spans="1:7" ht="11.25" customHeight="1">
      <c r="A7" t="s">
        <v>16</v>
      </c>
      <c r="B7" t="s">
        <v>3542</v>
      </c>
      <c r="C7" t="s">
        <v>3543</v>
      </c>
      <c r="D7" t="s">
        <v>3555</v>
      </c>
      <c r="E7" t="s">
        <v>3556</v>
      </c>
      <c r="F7" t="s">
        <v>3547</v>
      </c>
      <c r="G7" t="s">
        <v>92</v>
      </c>
    </row>
    <row r="8" spans="1:7" ht="11.25" customHeight="1">
      <c r="A8" t="s">
        <v>16</v>
      </c>
      <c r="B8" t="s">
        <v>3542</v>
      </c>
      <c r="C8" t="s">
        <v>3543</v>
      </c>
      <c r="D8" t="s">
        <v>3557</v>
      </c>
      <c r="E8" t="s">
        <v>3558</v>
      </c>
      <c r="F8" t="s">
        <v>3547</v>
      </c>
      <c r="G8" t="s">
        <v>93</v>
      </c>
    </row>
    <row r="9" spans="1:7" ht="11.25" customHeight="1">
      <c r="A9" t="s">
        <v>16</v>
      </c>
      <c r="B9" t="s">
        <v>3542</v>
      </c>
      <c r="C9" t="s">
        <v>3543</v>
      </c>
      <c r="D9" t="s">
        <v>3559</v>
      </c>
      <c r="E9" t="s">
        <v>3560</v>
      </c>
      <c r="F9" t="s">
        <v>3547</v>
      </c>
      <c r="G9" t="s">
        <v>117</v>
      </c>
    </row>
    <row r="10" spans="1:7" ht="11.25" customHeight="1">
      <c r="A10" t="s">
        <v>16</v>
      </c>
      <c r="B10" t="s">
        <v>3542</v>
      </c>
      <c r="C10" t="s">
        <v>3543</v>
      </c>
      <c r="D10" t="s">
        <v>3561</v>
      </c>
      <c r="E10" t="s">
        <v>3562</v>
      </c>
      <c r="F10" t="s">
        <v>3547</v>
      </c>
      <c r="G10" t="s">
        <v>154</v>
      </c>
    </row>
    <row r="11" spans="1:7" ht="11.25" customHeight="1">
      <c r="A11" t="s">
        <v>16</v>
      </c>
      <c r="B11" t="s">
        <v>3542</v>
      </c>
      <c r="C11" t="s">
        <v>3543</v>
      </c>
      <c r="D11" t="s">
        <v>3563</v>
      </c>
      <c r="E11" t="s">
        <v>3564</v>
      </c>
      <c r="F11" t="s">
        <v>3547</v>
      </c>
      <c r="G11" t="s">
        <v>155</v>
      </c>
    </row>
    <row r="12" spans="1:7" ht="11.25" customHeight="1">
      <c r="A12" t="s">
        <v>16</v>
      </c>
      <c r="B12" t="s">
        <v>3542</v>
      </c>
      <c r="C12" t="s">
        <v>3543</v>
      </c>
      <c r="D12" t="s">
        <v>3565</v>
      </c>
      <c r="E12" t="s">
        <v>3566</v>
      </c>
      <c r="F12" t="s">
        <v>3547</v>
      </c>
      <c r="G12" t="s">
        <v>156</v>
      </c>
    </row>
    <row r="13" spans="1:7" ht="11.25" customHeight="1">
      <c r="A13" t="s">
        <v>16</v>
      </c>
      <c r="B13" t="s">
        <v>3542</v>
      </c>
      <c r="C13" t="s">
        <v>3543</v>
      </c>
      <c r="D13" t="s">
        <v>3567</v>
      </c>
      <c r="E13" t="s">
        <v>3568</v>
      </c>
      <c r="F13" t="s">
        <v>3547</v>
      </c>
      <c r="G13" t="s">
        <v>157</v>
      </c>
    </row>
    <row r="14" spans="1:7" ht="11.25" customHeight="1">
      <c r="A14" t="s">
        <v>16</v>
      </c>
      <c r="B14" t="s">
        <v>3542</v>
      </c>
      <c r="C14" t="s">
        <v>3543</v>
      </c>
      <c r="D14" t="s">
        <v>3569</v>
      </c>
      <c r="E14" t="s">
        <v>3570</v>
      </c>
      <c r="F14" t="s">
        <v>3547</v>
      </c>
      <c r="G14" t="s">
        <v>158</v>
      </c>
    </row>
    <row r="15" spans="1:7" ht="11.25" customHeight="1">
      <c r="A15" t="s">
        <v>16</v>
      </c>
      <c r="B15" t="s">
        <v>3542</v>
      </c>
      <c r="C15" t="s">
        <v>3543</v>
      </c>
      <c r="D15" t="s">
        <v>3571</v>
      </c>
      <c r="E15" t="s">
        <v>3572</v>
      </c>
      <c r="F15" t="s">
        <v>3547</v>
      </c>
      <c r="G15" t="s">
        <v>159</v>
      </c>
    </row>
    <row r="16" spans="1:7" ht="11.25" customHeight="1">
      <c r="A16" t="s">
        <v>16</v>
      </c>
      <c r="B16" t="s">
        <v>3542</v>
      </c>
      <c r="C16" t="s">
        <v>3543</v>
      </c>
      <c r="D16" t="s">
        <v>3573</v>
      </c>
      <c r="E16" t="s">
        <v>3574</v>
      </c>
      <c r="F16" t="s">
        <v>3547</v>
      </c>
      <c r="G16" t="s">
        <v>1466</v>
      </c>
    </row>
    <row r="17" spans="1:7" ht="11.25" customHeight="1">
      <c r="A17" t="s">
        <v>16</v>
      </c>
      <c r="B17" t="s">
        <v>3542</v>
      </c>
      <c r="C17" t="s">
        <v>3543</v>
      </c>
      <c r="D17" t="s">
        <v>3575</v>
      </c>
      <c r="E17" t="s">
        <v>3576</v>
      </c>
      <c r="F17" t="s">
        <v>3547</v>
      </c>
      <c r="G17" t="s">
        <v>1472</v>
      </c>
    </row>
    <row r="18" spans="1:7" ht="11.25" customHeight="1">
      <c r="A18" t="s">
        <v>16</v>
      </c>
      <c r="B18" t="s">
        <v>3542</v>
      </c>
      <c r="C18" t="s">
        <v>3543</v>
      </c>
      <c r="D18" t="s">
        <v>3577</v>
      </c>
      <c r="E18" t="s">
        <v>3578</v>
      </c>
      <c r="F18" t="s">
        <v>3547</v>
      </c>
      <c r="G18" t="s">
        <v>1484</v>
      </c>
    </row>
    <row r="19" spans="1:7" ht="11.25" customHeight="1">
      <c r="A19" t="s">
        <v>16</v>
      </c>
      <c r="B19" t="s">
        <v>3542</v>
      </c>
      <c r="C19" t="s">
        <v>3543</v>
      </c>
      <c r="D19" t="s">
        <v>3579</v>
      </c>
      <c r="E19" t="s">
        <v>3580</v>
      </c>
      <c r="F19" t="s">
        <v>3547</v>
      </c>
      <c r="G19" t="s">
        <v>1498</v>
      </c>
    </row>
    <row r="20" spans="1:7" ht="11.25" customHeight="1">
      <c r="A20" t="s">
        <v>16</v>
      </c>
      <c r="B20" t="s">
        <v>3542</v>
      </c>
      <c r="C20" t="s">
        <v>3543</v>
      </c>
      <c r="D20" t="s">
        <v>3581</v>
      </c>
      <c r="E20" t="s">
        <v>3582</v>
      </c>
      <c r="F20" t="s">
        <v>3547</v>
      </c>
      <c r="G20" t="s">
        <v>1510</v>
      </c>
    </row>
    <row r="21" spans="1:7" ht="11.25" customHeight="1">
      <c r="A21" t="s">
        <v>16</v>
      </c>
      <c r="B21" t="s">
        <v>3542</v>
      </c>
      <c r="C21" t="s">
        <v>3543</v>
      </c>
      <c r="D21" t="s">
        <v>3583</v>
      </c>
      <c r="E21" t="s">
        <v>3584</v>
      </c>
      <c r="F21" t="s">
        <v>3547</v>
      </c>
      <c r="G21" t="s">
        <v>1519</v>
      </c>
    </row>
    <row r="22" spans="1:7" ht="11.25" customHeight="1">
      <c r="A22" t="s">
        <v>16</v>
      </c>
      <c r="B22" t="s">
        <v>3542</v>
      </c>
      <c r="C22" t="s">
        <v>3543</v>
      </c>
      <c r="D22" t="s">
        <v>3585</v>
      </c>
      <c r="E22" t="s">
        <v>3586</v>
      </c>
      <c r="F22" t="s">
        <v>3547</v>
      </c>
      <c r="G22" t="s">
        <v>1535</v>
      </c>
    </row>
    <row r="23" spans="1:7" ht="11.25" customHeight="1">
      <c r="A23" t="s">
        <v>16</v>
      </c>
      <c r="B23" t="s">
        <v>3542</v>
      </c>
      <c r="C23" t="s">
        <v>3543</v>
      </c>
      <c r="D23" t="s">
        <v>3587</v>
      </c>
      <c r="E23" t="s">
        <v>3588</v>
      </c>
      <c r="F23" t="s">
        <v>3547</v>
      </c>
      <c r="G23" t="s">
        <v>1542</v>
      </c>
    </row>
    <row r="24" spans="1:7" ht="11.25" customHeight="1">
      <c r="A24" t="s">
        <v>16</v>
      </c>
      <c r="B24" t="s">
        <v>3542</v>
      </c>
      <c r="C24" t="s">
        <v>3543</v>
      </c>
      <c r="D24" t="s">
        <v>3589</v>
      </c>
      <c r="E24" t="s">
        <v>3590</v>
      </c>
      <c r="F24" t="s">
        <v>3547</v>
      </c>
      <c r="G24" t="s">
        <v>1550</v>
      </c>
    </row>
    <row r="25" spans="1:7" ht="11.25" customHeight="1">
      <c r="A25" t="s">
        <v>16</v>
      </c>
      <c r="B25" t="s">
        <v>3591</v>
      </c>
      <c r="C25" t="s">
        <v>3592</v>
      </c>
      <c r="D25" t="s">
        <v>3593</v>
      </c>
      <c r="E25" t="s">
        <v>3594</v>
      </c>
      <c r="F25" t="s">
        <v>3547</v>
      </c>
      <c r="G25" t="s">
        <v>1557</v>
      </c>
    </row>
    <row r="26" spans="1:7" ht="11.25" customHeight="1">
      <c r="A26" t="s">
        <v>16</v>
      </c>
      <c r="B26" t="s">
        <v>3591</v>
      </c>
      <c r="C26" t="s">
        <v>3592</v>
      </c>
      <c r="D26" t="s">
        <v>3591</v>
      </c>
      <c r="E26" t="s">
        <v>3592</v>
      </c>
      <c r="F26" t="s">
        <v>3544</v>
      </c>
      <c r="G26" t="s">
        <v>1561</v>
      </c>
    </row>
    <row r="27" spans="1:7" ht="11.25" customHeight="1">
      <c r="A27" t="s">
        <v>16</v>
      </c>
      <c r="B27" t="s">
        <v>3591</v>
      </c>
      <c r="C27" t="s">
        <v>3592</v>
      </c>
      <c r="D27" t="s">
        <v>3595</v>
      </c>
      <c r="E27" t="s">
        <v>3596</v>
      </c>
      <c r="F27" t="s">
        <v>3547</v>
      </c>
      <c r="G27" t="s">
        <v>1566</v>
      </c>
    </row>
    <row r="28" spans="1:7" ht="11.25" customHeight="1">
      <c r="A28" t="s">
        <v>16</v>
      </c>
      <c r="B28" t="s">
        <v>3591</v>
      </c>
      <c r="C28" t="s">
        <v>3592</v>
      </c>
      <c r="D28" t="s">
        <v>3597</v>
      </c>
      <c r="E28" t="s">
        <v>3598</v>
      </c>
      <c r="F28" t="s">
        <v>3547</v>
      </c>
      <c r="G28" t="s">
        <v>1574</v>
      </c>
    </row>
    <row r="29" spans="1:7" ht="11.25" customHeight="1">
      <c r="A29" t="s">
        <v>16</v>
      </c>
      <c r="B29" t="s">
        <v>3591</v>
      </c>
      <c r="C29" t="s">
        <v>3592</v>
      </c>
      <c r="D29" t="s">
        <v>3599</v>
      </c>
      <c r="E29" t="s">
        <v>3600</v>
      </c>
      <c r="F29" t="s">
        <v>3547</v>
      </c>
      <c r="G29" t="s">
        <v>1576</v>
      </c>
    </row>
    <row r="30" spans="1:7" ht="11.25" customHeight="1">
      <c r="A30" t="s">
        <v>16</v>
      </c>
      <c r="B30" t="s">
        <v>3591</v>
      </c>
      <c r="C30" t="s">
        <v>3592</v>
      </c>
      <c r="D30" t="s">
        <v>3601</v>
      </c>
      <c r="E30" t="s">
        <v>3602</v>
      </c>
      <c r="F30" t="s">
        <v>3547</v>
      </c>
      <c r="G30" t="s">
        <v>1579</v>
      </c>
    </row>
    <row r="31" spans="1:7" ht="11.25" customHeight="1">
      <c r="A31" t="s">
        <v>16</v>
      </c>
      <c r="B31" t="s">
        <v>3591</v>
      </c>
      <c r="C31" t="s">
        <v>3592</v>
      </c>
      <c r="D31" t="s">
        <v>3603</v>
      </c>
      <c r="E31" t="s">
        <v>3604</v>
      </c>
      <c r="F31" t="s">
        <v>3547</v>
      </c>
      <c r="G31" t="s">
        <v>1585</v>
      </c>
    </row>
    <row r="32" spans="1:7" ht="11.25" customHeight="1">
      <c r="A32" t="s">
        <v>16</v>
      </c>
      <c r="B32" t="s">
        <v>3591</v>
      </c>
      <c r="C32" t="s">
        <v>3592</v>
      </c>
      <c r="D32" t="s">
        <v>3605</v>
      </c>
      <c r="E32" t="s">
        <v>3606</v>
      </c>
      <c r="F32" t="s">
        <v>3547</v>
      </c>
      <c r="G32" t="s">
        <v>1587</v>
      </c>
    </row>
    <row r="33" spans="1:7" ht="11.25" customHeight="1">
      <c r="A33" t="s">
        <v>16</v>
      </c>
      <c r="B33" t="s">
        <v>3591</v>
      </c>
      <c r="C33" t="s">
        <v>3592</v>
      </c>
      <c r="D33" t="s">
        <v>3607</v>
      </c>
      <c r="E33" t="s">
        <v>3608</v>
      </c>
      <c r="F33" t="s">
        <v>3552</v>
      </c>
      <c r="G33" t="s">
        <v>1589</v>
      </c>
    </row>
    <row r="34" spans="1:7" ht="11.25" customHeight="1">
      <c r="A34" t="s">
        <v>16</v>
      </c>
      <c r="B34" t="s">
        <v>3591</v>
      </c>
      <c r="C34" t="s">
        <v>3592</v>
      </c>
      <c r="D34" t="s">
        <v>3609</v>
      </c>
      <c r="E34" t="s">
        <v>3610</v>
      </c>
      <c r="F34" t="s">
        <v>3547</v>
      </c>
      <c r="G34" t="s">
        <v>1591</v>
      </c>
    </row>
    <row r="35" spans="1:7" ht="11.25" customHeight="1">
      <c r="A35" t="s">
        <v>16</v>
      </c>
      <c r="B35" t="s">
        <v>3591</v>
      </c>
      <c r="C35" t="s">
        <v>3592</v>
      </c>
      <c r="D35" t="s">
        <v>3611</v>
      </c>
      <c r="E35" t="s">
        <v>3612</v>
      </c>
      <c r="F35" t="s">
        <v>3547</v>
      </c>
      <c r="G35" t="s">
        <v>1596</v>
      </c>
    </row>
    <row r="36" spans="1:7" ht="11.25" customHeight="1">
      <c r="A36" t="s">
        <v>16</v>
      </c>
      <c r="B36" t="s">
        <v>3591</v>
      </c>
      <c r="C36" t="s">
        <v>3592</v>
      </c>
      <c r="D36" t="s">
        <v>3613</v>
      </c>
      <c r="E36" t="s">
        <v>3614</v>
      </c>
      <c r="F36" t="s">
        <v>3547</v>
      </c>
      <c r="G36" t="s">
        <v>1601</v>
      </c>
    </row>
    <row r="37" spans="1:7" ht="11.25" customHeight="1">
      <c r="A37" t="s">
        <v>16</v>
      </c>
      <c r="B37" t="s">
        <v>3591</v>
      </c>
      <c r="C37" t="s">
        <v>3592</v>
      </c>
      <c r="D37" t="s">
        <v>3615</v>
      </c>
      <c r="E37" t="s">
        <v>3616</v>
      </c>
      <c r="F37" t="s">
        <v>3547</v>
      </c>
      <c r="G37" t="s">
        <v>1605</v>
      </c>
    </row>
    <row r="38" spans="1:7" ht="11.25" customHeight="1">
      <c r="A38" t="s">
        <v>16</v>
      </c>
      <c r="B38" t="s">
        <v>3591</v>
      </c>
      <c r="C38" t="s">
        <v>3592</v>
      </c>
      <c r="D38" t="s">
        <v>3617</v>
      </c>
      <c r="E38" t="s">
        <v>3618</v>
      </c>
      <c r="F38" t="s">
        <v>3547</v>
      </c>
      <c r="G38" t="s">
        <v>1613</v>
      </c>
    </row>
    <row r="39" spans="1:7" ht="11.25" customHeight="1">
      <c r="A39" t="s">
        <v>16</v>
      </c>
      <c r="B39" t="s">
        <v>3591</v>
      </c>
      <c r="C39" t="s">
        <v>3592</v>
      </c>
      <c r="D39" t="s">
        <v>3619</v>
      </c>
      <c r="E39" t="s">
        <v>3620</v>
      </c>
      <c r="F39" t="s">
        <v>3547</v>
      </c>
      <c r="G39" t="s">
        <v>1619</v>
      </c>
    </row>
    <row r="40" spans="1:7" ht="11.25" customHeight="1">
      <c r="A40" t="s">
        <v>16</v>
      </c>
      <c r="B40" t="s">
        <v>3591</v>
      </c>
      <c r="C40" t="s">
        <v>3592</v>
      </c>
      <c r="D40" t="s">
        <v>3621</v>
      </c>
      <c r="E40" t="s">
        <v>3622</v>
      </c>
      <c r="F40" t="s">
        <v>3547</v>
      </c>
      <c r="G40" t="s">
        <v>1624</v>
      </c>
    </row>
    <row r="41" spans="1:7" ht="11.25" customHeight="1">
      <c r="A41" t="s">
        <v>16</v>
      </c>
      <c r="B41" t="s">
        <v>3591</v>
      </c>
      <c r="C41" t="s">
        <v>3592</v>
      </c>
      <c r="D41" t="s">
        <v>3623</v>
      </c>
      <c r="E41" t="s">
        <v>3624</v>
      </c>
      <c r="F41" t="s">
        <v>3547</v>
      </c>
      <c r="G41" t="s">
        <v>1628</v>
      </c>
    </row>
    <row r="42" spans="1:7" ht="11.25" customHeight="1">
      <c r="A42" t="s">
        <v>16</v>
      </c>
      <c r="B42" t="s">
        <v>3591</v>
      </c>
      <c r="C42" t="s">
        <v>3592</v>
      </c>
      <c r="D42" t="s">
        <v>3625</v>
      </c>
      <c r="E42" t="s">
        <v>3626</v>
      </c>
      <c r="F42" t="s">
        <v>3547</v>
      </c>
      <c r="G42" t="s">
        <v>1631</v>
      </c>
    </row>
    <row r="43" spans="1:7" ht="11.25" customHeight="1">
      <c r="A43" t="s">
        <v>16</v>
      </c>
      <c r="B43" t="s">
        <v>3591</v>
      </c>
      <c r="C43" t="s">
        <v>3592</v>
      </c>
      <c r="D43" t="s">
        <v>3627</v>
      </c>
      <c r="E43" t="s">
        <v>3628</v>
      </c>
      <c r="F43" t="s">
        <v>3547</v>
      </c>
      <c r="G43" t="s">
        <v>1638</v>
      </c>
    </row>
    <row r="44" spans="1:7" ht="11.25" customHeight="1">
      <c r="A44" t="s">
        <v>16</v>
      </c>
      <c r="B44" t="s">
        <v>3591</v>
      </c>
      <c r="C44" t="s">
        <v>3592</v>
      </c>
      <c r="D44" t="s">
        <v>3629</v>
      </c>
      <c r="E44" t="s">
        <v>3630</v>
      </c>
      <c r="F44" t="s">
        <v>3547</v>
      </c>
      <c r="G44" t="s">
        <v>1647</v>
      </c>
    </row>
    <row r="45" spans="1:7" ht="11.25" customHeight="1">
      <c r="A45" t="s">
        <v>16</v>
      </c>
      <c r="B45" t="s">
        <v>3591</v>
      </c>
      <c r="C45" t="s">
        <v>3592</v>
      </c>
      <c r="D45" t="s">
        <v>3631</v>
      </c>
      <c r="E45" t="s">
        <v>3632</v>
      </c>
      <c r="F45" t="s">
        <v>3547</v>
      </c>
      <c r="G45" t="s">
        <v>1652</v>
      </c>
    </row>
    <row r="46" spans="1:7" ht="11.25" customHeight="1">
      <c r="A46" t="s">
        <v>16</v>
      </c>
      <c r="B46" t="s">
        <v>3591</v>
      </c>
      <c r="C46" t="s">
        <v>3592</v>
      </c>
      <c r="D46" t="s">
        <v>3633</v>
      </c>
      <c r="E46" t="s">
        <v>3634</v>
      </c>
      <c r="F46" t="s">
        <v>3547</v>
      </c>
      <c r="G46" t="s">
        <v>1655</v>
      </c>
    </row>
    <row r="47" spans="1:7" ht="11.25" customHeight="1">
      <c r="A47" t="s">
        <v>16</v>
      </c>
      <c r="B47" t="s">
        <v>3591</v>
      </c>
      <c r="C47" t="s">
        <v>3592</v>
      </c>
      <c r="D47" t="s">
        <v>3635</v>
      </c>
      <c r="E47" t="s">
        <v>3636</v>
      </c>
      <c r="F47" t="s">
        <v>3547</v>
      </c>
      <c r="G47" t="s">
        <v>1661</v>
      </c>
    </row>
    <row r="48" spans="1:7" ht="11.25" customHeight="1">
      <c r="A48" t="s">
        <v>16</v>
      </c>
      <c r="B48" t="s">
        <v>3591</v>
      </c>
      <c r="C48" t="s">
        <v>3592</v>
      </c>
      <c r="D48" t="s">
        <v>3637</v>
      </c>
      <c r="E48" t="s">
        <v>3638</v>
      </c>
      <c r="F48" t="s">
        <v>3547</v>
      </c>
      <c r="G48" t="s">
        <v>1666</v>
      </c>
    </row>
    <row r="49" spans="1:7" ht="11.25" customHeight="1">
      <c r="A49" t="s">
        <v>16</v>
      </c>
      <c r="B49" t="s">
        <v>3591</v>
      </c>
      <c r="C49" t="s">
        <v>3592</v>
      </c>
      <c r="D49" t="s">
        <v>3639</v>
      </c>
      <c r="E49" t="s">
        <v>3640</v>
      </c>
      <c r="F49" t="s">
        <v>3547</v>
      </c>
      <c r="G49" t="s">
        <v>1669</v>
      </c>
    </row>
    <row r="50" spans="1:7" ht="11.25" customHeight="1">
      <c r="A50" t="s">
        <v>16</v>
      </c>
      <c r="B50" t="s">
        <v>3591</v>
      </c>
      <c r="C50" t="s">
        <v>3592</v>
      </c>
      <c r="D50" t="s">
        <v>3641</v>
      </c>
      <c r="E50" t="s">
        <v>3642</v>
      </c>
      <c r="F50" t="s">
        <v>3547</v>
      </c>
      <c r="G50" t="s">
        <v>1673</v>
      </c>
    </row>
    <row r="51" spans="1:7" ht="11.25" customHeight="1">
      <c r="A51" t="s">
        <v>16</v>
      </c>
      <c r="B51" t="s">
        <v>3591</v>
      </c>
      <c r="C51" t="s">
        <v>3592</v>
      </c>
      <c r="D51" t="s">
        <v>3643</v>
      </c>
      <c r="E51" t="s">
        <v>3644</v>
      </c>
      <c r="F51" t="s">
        <v>3547</v>
      </c>
      <c r="G51" t="s">
        <v>1678</v>
      </c>
    </row>
    <row r="52" spans="1:7" ht="11.25" customHeight="1">
      <c r="A52" t="s">
        <v>16</v>
      </c>
      <c r="B52" t="s">
        <v>3591</v>
      </c>
      <c r="C52" t="s">
        <v>3592</v>
      </c>
      <c r="D52" t="s">
        <v>3645</v>
      </c>
      <c r="E52" t="s">
        <v>3646</v>
      </c>
      <c r="F52" t="s">
        <v>3547</v>
      </c>
      <c r="G52" t="s">
        <v>1682</v>
      </c>
    </row>
    <row r="53" spans="1:7" ht="11.25" customHeight="1">
      <c r="A53" t="s">
        <v>16</v>
      </c>
      <c r="B53" t="s">
        <v>3591</v>
      </c>
      <c r="C53" t="s">
        <v>3592</v>
      </c>
      <c r="D53" t="s">
        <v>3647</v>
      </c>
      <c r="E53" t="s">
        <v>3648</v>
      </c>
      <c r="F53" t="s">
        <v>3649</v>
      </c>
      <c r="G53" t="s">
        <v>1684</v>
      </c>
    </row>
    <row r="54" spans="1:7" ht="11.25" customHeight="1">
      <c r="A54" t="s">
        <v>16</v>
      </c>
      <c r="B54" t="s">
        <v>3650</v>
      </c>
      <c r="C54" t="s">
        <v>3651</v>
      </c>
      <c r="D54" t="s">
        <v>3650</v>
      </c>
      <c r="E54" t="s">
        <v>3651</v>
      </c>
      <c r="F54" t="s">
        <v>3544</v>
      </c>
      <c r="G54" t="s">
        <v>1687</v>
      </c>
    </row>
    <row r="55" spans="1:7" ht="11.25" customHeight="1">
      <c r="A55" t="s">
        <v>16</v>
      </c>
      <c r="B55" t="s">
        <v>3650</v>
      </c>
      <c r="C55" t="s">
        <v>3651</v>
      </c>
      <c r="D55" t="s">
        <v>3652</v>
      </c>
      <c r="E55" t="s">
        <v>3653</v>
      </c>
      <c r="F55" t="s">
        <v>3547</v>
      </c>
      <c r="G55" t="s">
        <v>1691</v>
      </c>
    </row>
    <row r="56" spans="1:7" ht="11.25" customHeight="1">
      <c r="A56" t="s">
        <v>16</v>
      </c>
      <c r="B56" t="s">
        <v>3650</v>
      </c>
      <c r="C56" t="s">
        <v>3651</v>
      </c>
      <c r="D56" t="s">
        <v>3654</v>
      </c>
      <c r="E56" t="s">
        <v>3655</v>
      </c>
      <c r="F56" t="s">
        <v>3547</v>
      </c>
      <c r="G56" t="s">
        <v>1694</v>
      </c>
    </row>
    <row r="57" spans="1:7" ht="11.25" customHeight="1">
      <c r="A57" t="s">
        <v>16</v>
      </c>
      <c r="B57" t="s">
        <v>3650</v>
      </c>
      <c r="C57" t="s">
        <v>3651</v>
      </c>
      <c r="D57" t="s">
        <v>3656</v>
      </c>
      <c r="E57" t="s">
        <v>3657</v>
      </c>
      <c r="F57" t="s">
        <v>3547</v>
      </c>
      <c r="G57" t="s">
        <v>1697</v>
      </c>
    </row>
    <row r="58" spans="1:7" ht="11.25" customHeight="1">
      <c r="A58" t="s">
        <v>16</v>
      </c>
      <c r="B58" t="s">
        <v>3650</v>
      </c>
      <c r="C58" t="s">
        <v>3651</v>
      </c>
      <c r="D58" t="s">
        <v>3658</v>
      </c>
      <c r="E58" t="s">
        <v>3659</v>
      </c>
      <c r="F58" t="s">
        <v>3547</v>
      </c>
      <c r="G58" t="s">
        <v>1700</v>
      </c>
    </row>
    <row r="59" spans="1:7" ht="11.25" customHeight="1">
      <c r="A59" t="s">
        <v>16</v>
      </c>
      <c r="B59" t="s">
        <v>3650</v>
      </c>
      <c r="C59" t="s">
        <v>3651</v>
      </c>
      <c r="D59" t="s">
        <v>3660</v>
      </c>
      <c r="E59" t="s">
        <v>3661</v>
      </c>
      <c r="F59" t="s">
        <v>3547</v>
      </c>
      <c r="G59" t="s">
        <v>1704</v>
      </c>
    </row>
    <row r="60" spans="1:7" ht="11.25" customHeight="1">
      <c r="A60" t="s">
        <v>16</v>
      </c>
      <c r="B60" t="s">
        <v>3650</v>
      </c>
      <c r="C60" t="s">
        <v>3651</v>
      </c>
      <c r="D60" t="s">
        <v>3662</v>
      </c>
      <c r="E60" t="s">
        <v>3663</v>
      </c>
      <c r="F60" t="s">
        <v>3547</v>
      </c>
      <c r="G60" t="s">
        <v>1707</v>
      </c>
    </row>
    <row r="61" spans="1:7" ht="11.25" customHeight="1">
      <c r="A61" t="s">
        <v>16</v>
      </c>
      <c r="B61" t="s">
        <v>3650</v>
      </c>
      <c r="C61" t="s">
        <v>3651</v>
      </c>
      <c r="D61" t="s">
        <v>3664</v>
      </c>
      <c r="E61" t="s">
        <v>3665</v>
      </c>
      <c r="F61" t="s">
        <v>3547</v>
      </c>
      <c r="G61" t="s">
        <v>3666</v>
      </c>
    </row>
    <row r="62" spans="1:7" ht="11.25" customHeight="1">
      <c r="A62" t="s">
        <v>16</v>
      </c>
      <c r="B62" t="s">
        <v>3650</v>
      </c>
      <c r="C62" t="s">
        <v>3651</v>
      </c>
      <c r="D62" t="s">
        <v>3667</v>
      </c>
      <c r="E62" t="s">
        <v>3668</v>
      </c>
      <c r="F62" t="s">
        <v>3547</v>
      </c>
      <c r="G62" t="s">
        <v>3669</v>
      </c>
    </row>
    <row r="63" spans="1:7" ht="11.25" customHeight="1">
      <c r="A63" t="s">
        <v>16</v>
      </c>
      <c r="B63" t="s">
        <v>3650</v>
      </c>
      <c r="C63" t="s">
        <v>3651</v>
      </c>
      <c r="D63" t="s">
        <v>3670</v>
      </c>
      <c r="E63" t="s">
        <v>3671</v>
      </c>
      <c r="F63" t="s">
        <v>3547</v>
      </c>
      <c r="G63" t="s">
        <v>3672</v>
      </c>
    </row>
    <row r="64" spans="1:7" ht="11.25" customHeight="1">
      <c r="A64" t="s">
        <v>16</v>
      </c>
      <c r="B64" t="s">
        <v>3650</v>
      </c>
      <c r="C64" t="s">
        <v>3651</v>
      </c>
      <c r="D64" t="s">
        <v>3673</v>
      </c>
      <c r="E64" t="s">
        <v>3674</v>
      </c>
      <c r="F64" t="s">
        <v>3547</v>
      </c>
      <c r="G64" t="s">
        <v>3675</v>
      </c>
    </row>
    <row r="65" spans="1:7" ht="11.25" customHeight="1">
      <c r="A65" t="s">
        <v>16</v>
      </c>
      <c r="B65" t="s">
        <v>3650</v>
      </c>
      <c r="C65" t="s">
        <v>3651</v>
      </c>
      <c r="D65" t="s">
        <v>3676</v>
      </c>
      <c r="E65" t="s">
        <v>3677</v>
      </c>
      <c r="F65" t="s">
        <v>3547</v>
      </c>
      <c r="G65" t="s">
        <v>3678</v>
      </c>
    </row>
    <row r="66" spans="1:7" ht="11.25" customHeight="1">
      <c r="A66" t="s">
        <v>16</v>
      </c>
      <c r="B66" t="s">
        <v>3650</v>
      </c>
      <c r="C66" t="s">
        <v>3651</v>
      </c>
      <c r="D66" t="s">
        <v>3679</v>
      </c>
      <c r="E66" t="s">
        <v>3680</v>
      </c>
      <c r="F66" t="s">
        <v>3547</v>
      </c>
      <c r="G66" t="s">
        <v>3681</v>
      </c>
    </row>
    <row r="67" spans="1:7" ht="11.25" customHeight="1">
      <c r="A67" t="s">
        <v>16</v>
      </c>
      <c r="B67" t="s">
        <v>3650</v>
      </c>
      <c r="C67" t="s">
        <v>3651</v>
      </c>
      <c r="D67" t="s">
        <v>3682</v>
      </c>
      <c r="E67" t="s">
        <v>3683</v>
      </c>
      <c r="F67" t="s">
        <v>3547</v>
      </c>
      <c r="G67" t="s">
        <v>2024</v>
      </c>
    </row>
    <row r="68" spans="1:7" ht="11.25" customHeight="1">
      <c r="A68" t="s">
        <v>16</v>
      </c>
      <c r="B68" t="s">
        <v>3650</v>
      </c>
      <c r="C68" t="s">
        <v>3651</v>
      </c>
      <c r="D68" t="s">
        <v>3684</v>
      </c>
      <c r="E68" t="s">
        <v>3685</v>
      </c>
      <c r="F68" t="s">
        <v>3547</v>
      </c>
      <c r="G68" t="s">
        <v>3686</v>
      </c>
    </row>
    <row r="69" spans="1:7" ht="11.25" customHeight="1">
      <c r="A69" t="s">
        <v>16</v>
      </c>
      <c r="B69" t="s">
        <v>3650</v>
      </c>
      <c r="C69" t="s">
        <v>3651</v>
      </c>
      <c r="D69" t="s">
        <v>3687</v>
      </c>
      <c r="E69" t="s">
        <v>3688</v>
      </c>
      <c r="F69" t="s">
        <v>3547</v>
      </c>
      <c r="G69" t="s">
        <v>2227</v>
      </c>
    </row>
    <row r="70" spans="1:7" ht="11.25" customHeight="1">
      <c r="A70" t="s">
        <v>16</v>
      </c>
      <c r="B70" t="s">
        <v>3650</v>
      </c>
      <c r="C70" t="s">
        <v>3651</v>
      </c>
      <c r="D70" t="s">
        <v>3689</v>
      </c>
      <c r="E70" t="s">
        <v>3690</v>
      </c>
      <c r="F70" t="s">
        <v>3547</v>
      </c>
      <c r="G70" t="s">
        <v>3691</v>
      </c>
    </row>
    <row r="71" spans="1:7" ht="11.25" customHeight="1">
      <c r="A71" t="s">
        <v>16</v>
      </c>
      <c r="B71" t="s">
        <v>3650</v>
      </c>
      <c r="C71" t="s">
        <v>3651</v>
      </c>
      <c r="D71" t="s">
        <v>3692</v>
      </c>
      <c r="E71" t="s">
        <v>3693</v>
      </c>
      <c r="F71" t="s">
        <v>3547</v>
      </c>
      <c r="G71" t="s">
        <v>3694</v>
      </c>
    </row>
    <row r="72" spans="1:7" ht="11.25" customHeight="1">
      <c r="A72" t="s">
        <v>16</v>
      </c>
      <c r="B72" t="s">
        <v>3650</v>
      </c>
      <c r="C72" t="s">
        <v>3651</v>
      </c>
      <c r="D72" t="s">
        <v>3695</v>
      </c>
      <c r="E72" t="s">
        <v>3696</v>
      </c>
      <c r="F72" t="s">
        <v>3547</v>
      </c>
      <c r="G72" t="s">
        <v>3697</v>
      </c>
    </row>
    <row r="73" spans="1:7" ht="11.25" customHeight="1">
      <c r="A73" t="s">
        <v>16</v>
      </c>
      <c r="B73" t="s">
        <v>3650</v>
      </c>
      <c r="C73" t="s">
        <v>3651</v>
      </c>
      <c r="D73" t="s">
        <v>3698</v>
      </c>
      <c r="E73" t="s">
        <v>3699</v>
      </c>
      <c r="F73" t="s">
        <v>3547</v>
      </c>
      <c r="G73" t="s">
        <v>3700</v>
      </c>
    </row>
    <row r="74" spans="1:7" ht="11.25" customHeight="1">
      <c r="A74" t="s">
        <v>16</v>
      </c>
      <c r="B74" t="s">
        <v>3650</v>
      </c>
      <c r="C74" t="s">
        <v>3651</v>
      </c>
      <c r="D74" t="s">
        <v>3701</v>
      </c>
      <c r="E74" t="s">
        <v>3702</v>
      </c>
      <c r="F74" t="s">
        <v>3547</v>
      </c>
      <c r="G74" t="s">
        <v>3703</v>
      </c>
    </row>
    <row r="75" spans="1:7" ht="11.25" customHeight="1">
      <c r="A75" t="s">
        <v>16</v>
      </c>
      <c r="B75" t="s">
        <v>3650</v>
      </c>
      <c r="C75" t="s">
        <v>3651</v>
      </c>
      <c r="D75" t="s">
        <v>3704</v>
      </c>
      <c r="E75" t="s">
        <v>3705</v>
      </c>
      <c r="F75" t="s">
        <v>3649</v>
      </c>
      <c r="G75" t="s">
        <v>3706</v>
      </c>
    </row>
    <row r="76" spans="1:7" ht="11.25" customHeight="1">
      <c r="A76" t="s">
        <v>16</v>
      </c>
      <c r="B76" t="s">
        <v>3707</v>
      </c>
      <c r="C76" t="s">
        <v>3708</v>
      </c>
      <c r="D76" t="s">
        <v>3709</v>
      </c>
      <c r="E76" t="s">
        <v>3710</v>
      </c>
      <c r="F76" t="s">
        <v>3547</v>
      </c>
      <c r="G76" t="s">
        <v>3711</v>
      </c>
    </row>
    <row r="77" spans="1:7" ht="11.25" customHeight="1">
      <c r="A77" t="s">
        <v>16</v>
      </c>
      <c r="B77" t="s">
        <v>3707</v>
      </c>
      <c r="C77" t="s">
        <v>3708</v>
      </c>
      <c r="D77" t="s">
        <v>3712</v>
      </c>
      <c r="E77" t="s">
        <v>3713</v>
      </c>
      <c r="F77" t="s">
        <v>3547</v>
      </c>
      <c r="G77" t="s">
        <v>3714</v>
      </c>
    </row>
    <row r="78" spans="1:7" ht="11.25" customHeight="1">
      <c r="A78" t="s">
        <v>16</v>
      </c>
      <c r="B78" t="s">
        <v>3707</v>
      </c>
      <c r="C78" t="s">
        <v>3708</v>
      </c>
      <c r="D78" t="s">
        <v>3715</v>
      </c>
      <c r="E78" t="s">
        <v>3716</v>
      </c>
      <c r="F78" t="s">
        <v>3547</v>
      </c>
      <c r="G78" t="s">
        <v>3717</v>
      </c>
    </row>
    <row r="79" spans="1:7" ht="11.25" customHeight="1">
      <c r="A79" t="s">
        <v>16</v>
      </c>
      <c r="B79" t="s">
        <v>3707</v>
      </c>
      <c r="C79" t="s">
        <v>3708</v>
      </c>
      <c r="D79" t="s">
        <v>3707</v>
      </c>
      <c r="E79" t="s">
        <v>3708</v>
      </c>
      <c r="F79" t="s">
        <v>3544</v>
      </c>
      <c r="G79" t="s">
        <v>3718</v>
      </c>
    </row>
    <row r="80" spans="1:7" ht="11.25" customHeight="1">
      <c r="A80" t="s">
        <v>16</v>
      </c>
      <c r="B80" t="s">
        <v>3707</v>
      </c>
      <c r="C80" t="s">
        <v>3708</v>
      </c>
      <c r="D80" t="s">
        <v>3719</v>
      </c>
      <c r="E80" t="s">
        <v>3720</v>
      </c>
      <c r="F80" t="s">
        <v>3547</v>
      </c>
      <c r="G80" t="s">
        <v>3721</v>
      </c>
    </row>
    <row r="81" spans="1:7" ht="11.25" customHeight="1">
      <c r="A81" t="s">
        <v>16</v>
      </c>
      <c r="B81" t="s">
        <v>3707</v>
      </c>
      <c r="C81" t="s">
        <v>3708</v>
      </c>
      <c r="D81" t="s">
        <v>3722</v>
      </c>
      <c r="E81" t="s">
        <v>3723</v>
      </c>
      <c r="F81" t="s">
        <v>3547</v>
      </c>
      <c r="G81" t="s">
        <v>3724</v>
      </c>
    </row>
    <row r="82" spans="1:7" ht="11.25" customHeight="1">
      <c r="A82" t="s">
        <v>16</v>
      </c>
      <c r="B82" t="s">
        <v>3707</v>
      </c>
      <c r="C82" t="s">
        <v>3708</v>
      </c>
      <c r="D82" t="s">
        <v>3725</v>
      </c>
      <c r="E82" t="s">
        <v>3726</v>
      </c>
      <c r="F82" t="s">
        <v>3547</v>
      </c>
      <c r="G82" t="s">
        <v>3727</v>
      </c>
    </row>
    <row r="83" spans="1:7" ht="11.25" customHeight="1">
      <c r="A83" t="s">
        <v>16</v>
      </c>
      <c r="B83" t="s">
        <v>3707</v>
      </c>
      <c r="C83" t="s">
        <v>3708</v>
      </c>
      <c r="D83" t="s">
        <v>3728</v>
      </c>
      <c r="E83" t="s">
        <v>3729</v>
      </c>
      <c r="F83" t="s">
        <v>3547</v>
      </c>
      <c r="G83" t="s">
        <v>3730</v>
      </c>
    </row>
    <row r="84" spans="1:7" ht="11.25" customHeight="1">
      <c r="A84" t="s">
        <v>16</v>
      </c>
      <c r="B84" t="s">
        <v>3707</v>
      </c>
      <c r="C84" t="s">
        <v>3708</v>
      </c>
      <c r="D84" t="s">
        <v>3731</v>
      </c>
      <c r="E84" t="s">
        <v>3732</v>
      </c>
      <c r="F84" t="s">
        <v>3547</v>
      </c>
      <c r="G84" t="s">
        <v>3733</v>
      </c>
    </row>
    <row r="85" spans="1:7" ht="11.25" customHeight="1">
      <c r="A85" t="s">
        <v>16</v>
      </c>
      <c r="B85" t="s">
        <v>3707</v>
      </c>
      <c r="C85" t="s">
        <v>3708</v>
      </c>
      <c r="D85" t="s">
        <v>3734</v>
      </c>
      <c r="E85" t="s">
        <v>3735</v>
      </c>
      <c r="F85" t="s">
        <v>3547</v>
      </c>
      <c r="G85" t="s">
        <v>3736</v>
      </c>
    </row>
    <row r="86" spans="1:7" ht="11.25" customHeight="1">
      <c r="A86" t="s">
        <v>16</v>
      </c>
      <c r="B86" t="s">
        <v>3707</v>
      </c>
      <c r="C86" t="s">
        <v>3708</v>
      </c>
      <c r="D86" t="s">
        <v>3737</v>
      </c>
      <c r="E86" t="s">
        <v>3738</v>
      </c>
      <c r="F86" t="s">
        <v>3547</v>
      </c>
      <c r="G86" t="s">
        <v>3739</v>
      </c>
    </row>
    <row r="87" spans="1:7" ht="11.25" customHeight="1">
      <c r="A87" t="s">
        <v>16</v>
      </c>
      <c r="B87" t="s">
        <v>3707</v>
      </c>
      <c r="C87" t="s">
        <v>3708</v>
      </c>
      <c r="D87" t="s">
        <v>3740</v>
      </c>
      <c r="E87" t="s">
        <v>3741</v>
      </c>
      <c r="F87" t="s">
        <v>3547</v>
      </c>
      <c r="G87" t="s">
        <v>3742</v>
      </c>
    </row>
    <row r="88" spans="1:7" ht="11.25" customHeight="1">
      <c r="A88" t="s">
        <v>16</v>
      </c>
      <c r="B88" t="s">
        <v>3707</v>
      </c>
      <c r="C88" t="s">
        <v>3708</v>
      </c>
      <c r="D88" t="s">
        <v>3743</v>
      </c>
      <c r="E88" t="s">
        <v>3744</v>
      </c>
      <c r="F88" t="s">
        <v>3547</v>
      </c>
      <c r="G88" t="s">
        <v>3745</v>
      </c>
    </row>
    <row r="89" spans="1:7" ht="11.25" customHeight="1">
      <c r="A89" t="s">
        <v>16</v>
      </c>
      <c r="B89" t="s">
        <v>3707</v>
      </c>
      <c r="C89" t="s">
        <v>3708</v>
      </c>
      <c r="D89" t="s">
        <v>3746</v>
      </c>
      <c r="E89" t="s">
        <v>3747</v>
      </c>
      <c r="F89" t="s">
        <v>3547</v>
      </c>
      <c r="G89" t="s">
        <v>3748</v>
      </c>
    </row>
    <row r="90" spans="1:7" ht="11.25" customHeight="1">
      <c r="A90" t="s">
        <v>16</v>
      </c>
      <c r="B90" t="s">
        <v>3707</v>
      </c>
      <c r="C90" t="s">
        <v>3708</v>
      </c>
      <c r="D90" t="s">
        <v>3749</v>
      </c>
      <c r="E90" t="s">
        <v>3750</v>
      </c>
      <c r="F90" t="s">
        <v>3547</v>
      </c>
      <c r="G90" t="s">
        <v>3751</v>
      </c>
    </row>
    <row r="91" spans="1:7" ht="11.25" customHeight="1">
      <c r="A91" t="s">
        <v>16</v>
      </c>
      <c r="B91" t="s">
        <v>3707</v>
      </c>
      <c r="C91" t="s">
        <v>3708</v>
      </c>
      <c r="D91" t="s">
        <v>3752</v>
      </c>
      <c r="E91" t="s">
        <v>3753</v>
      </c>
      <c r="F91" t="s">
        <v>3547</v>
      </c>
      <c r="G91" t="s">
        <v>3754</v>
      </c>
    </row>
    <row r="92" spans="1:7" ht="11.25" customHeight="1">
      <c r="A92" t="s">
        <v>16</v>
      </c>
      <c r="B92" t="s">
        <v>3707</v>
      </c>
      <c r="C92" t="s">
        <v>3708</v>
      </c>
      <c r="D92" t="s">
        <v>3755</v>
      </c>
      <c r="E92" t="s">
        <v>3756</v>
      </c>
      <c r="F92" t="s">
        <v>3547</v>
      </c>
      <c r="G92" t="s">
        <v>3757</v>
      </c>
    </row>
    <row r="93" spans="1:7" ht="11.25" customHeight="1">
      <c r="A93" t="s">
        <v>16</v>
      </c>
      <c r="B93" t="s">
        <v>3707</v>
      </c>
      <c r="C93" t="s">
        <v>3708</v>
      </c>
      <c r="D93" t="s">
        <v>3758</v>
      </c>
      <c r="E93" t="s">
        <v>3759</v>
      </c>
      <c r="F93" t="s">
        <v>3547</v>
      </c>
      <c r="G93" t="s">
        <v>3760</v>
      </c>
    </row>
    <row r="94" spans="1:7" ht="11.25" customHeight="1">
      <c r="A94" t="s">
        <v>16</v>
      </c>
      <c r="B94" t="s">
        <v>3707</v>
      </c>
      <c r="C94" t="s">
        <v>3708</v>
      </c>
      <c r="D94" t="s">
        <v>3761</v>
      </c>
      <c r="E94" t="s">
        <v>3762</v>
      </c>
      <c r="F94" t="s">
        <v>3547</v>
      </c>
      <c r="G94" t="s">
        <v>3763</v>
      </c>
    </row>
    <row r="95" spans="1:7" ht="11.25" customHeight="1">
      <c r="A95" t="s">
        <v>16</v>
      </c>
      <c r="B95" t="s">
        <v>3707</v>
      </c>
      <c r="C95" t="s">
        <v>3708</v>
      </c>
      <c r="D95" t="s">
        <v>3764</v>
      </c>
      <c r="E95" t="s">
        <v>3765</v>
      </c>
      <c r="F95" t="s">
        <v>3547</v>
      </c>
      <c r="G95" t="s">
        <v>3766</v>
      </c>
    </row>
    <row r="96" spans="1:7" ht="11.25" customHeight="1">
      <c r="A96" t="s">
        <v>16</v>
      </c>
      <c r="B96" t="s">
        <v>3707</v>
      </c>
      <c r="C96" t="s">
        <v>3708</v>
      </c>
      <c r="D96" t="s">
        <v>3767</v>
      </c>
      <c r="E96" t="s">
        <v>3768</v>
      </c>
      <c r="F96" t="s">
        <v>3547</v>
      </c>
      <c r="G96" t="s">
        <v>3769</v>
      </c>
    </row>
    <row r="97" spans="1:7" ht="11.25" customHeight="1">
      <c r="A97" t="s">
        <v>16</v>
      </c>
      <c r="B97" t="s">
        <v>3707</v>
      </c>
      <c r="C97" t="s">
        <v>3708</v>
      </c>
      <c r="D97" t="s">
        <v>3770</v>
      </c>
      <c r="E97" t="s">
        <v>3771</v>
      </c>
      <c r="F97" t="s">
        <v>3547</v>
      </c>
      <c r="G97" t="s">
        <v>3772</v>
      </c>
    </row>
    <row r="98" spans="1:7" ht="11.25" customHeight="1">
      <c r="A98" t="s">
        <v>16</v>
      </c>
      <c r="B98" t="s">
        <v>3707</v>
      </c>
      <c r="C98" t="s">
        <v>3708</v>
      </c>
      <c r="D98" t="s">
        <v>3773</v>
      </c>
      <c r="E98" t="s">
        <v>3774</v>
      </c>
      <c r="F98" t="s">
        <v>3547</v>
      </c>
      <c r="G98" t="s">
        <v>3775</v>
      </c>
    </row>
    <row r="99" spans="1:7" ht="11.25" customHeight="1">
      <c r="A99" t="s">
        <v>16</v>
      </c>
      <c r="B99" t="s">
        <v>3707</v>
      </c>
      <c r="C99" t="s">
        <v>3708</v>
      </c>
      <c r="D99" t="s">
        <v>3633</v>
      </c>
      <c r="E99" t="s">
        <v>3776</v>
      </c>
      <c r="F99" t="s">
        <v>3547</v>
      </c>
      <c r="G99" t="s">
        <v>3777</v>
      </c>
    </row>
    <row r="100" spans="1:7" ht="11.25" customHeight="1">
      <c r="A100" t="s">
        <v>16</v>
      </c>
      <c r="B100" t="s">
        <v>3707</v>
      </c>
      <c r="C100" t="s">
        <v>3708</v>
      </c>
      <c r="D100" t="s">
        <v>3778</v>
      </c>
      <c r="E100" t="s">
        <v>3779</v>
      </c>
      <c r="F100" t="s">
        <v>3547</v>
      </c>
      <c r="G100" t="s">
        <v>3780</v>
      </c>
    </row>
    <row r="101" spans="1:7" ht="11.25" customHeight="1">
      <c r="A101" t="s">
        <v>16</v>
      </c>
      <c r="B101" t="s">
        <v>3707</v>
      </c>
      <c r="C101" t="s">
        <v>3708</v>
      </c>
      <c r="D101" t="s">
        <v>3781</v>
      </c>
      <c r="E101" t="s">
        <v>3782</v>
      </c>
      <c r="F101" t="s">
        <v>3547</v>
      </c>
      <c r="G101" t="s">
        <v>3783</v>
      </c>
    </row>
    <row r="102" spans="1:7" ht="11.25" customHeight="1">
      <c r="A102" t="s">
        <v>16</v>
      </c>
      <c r="B102" t="s">
        <v>3707</v>
      </c>
      <c r="C102" t="s">
        <v>3708</v>
      </c>
      <c r="D102" t="s">
        <v>3784</v>
      </c>
      <c r="E102" t="s">
        <v>3785</v>
      </c>
      <c r="F102" t="s">
        <v>3547</v>
      </c>
      <c r="G102" t="s">
        <v>3786</v>
      </c>
    </row>
    <row r="103" spans="1:7" ht="11.25" customHeight="1">
      <c r="A103" t="s">
        <v>16</v>
      </c>
      <c r="B103" t="s">
        <v>3787</v>
      </c>
      <c r="C103" t="s">
        <v>3788</v>
      </c>
      <c r="D103" t="s">
        <v>3787</v>
      </c>
      <c r="E103" t="s">
        <v>3788</v>
      </c>
      <c r="F103" t="s">
        <v>3544</v>
      </c>
      <c r="G103" t="s">
        <v>3789</v>
      </c>
    </row>
    <row r="104" spans="1:7" ht="11.25" customHeight="1">
      <c r="A104" t="s">
        <v>16</v>
      </c>
      <c r="B104" t="s">
        <v>3787</v>
      </c>
      <c r="C104" t="s">
        <v>3788</v>
      </c>
      <c r="D104" t="s">
        <v>3790</v>
      </c>
      <c r="E104" t="s">
        <v>3791</v>
      </c>
      <c r="F104" t="s">
        <v>3547</v>
      </c>
      <c r="G104" t="s">
        <v>3792</v>
      </c>
    </row>
    <row r="105" spans="1:7" ht="11.25" customHeight="1">
      <c r="A105" t="s">
        <v>16</v>
      </c>
      <c r="B105" t="s">
        <v>3787</v>
      </c>
      <c r="C105" t="s">
        <v>3788</v>
      </c>
      <c r="D105" t="s">
        <v>3793</v>
      </c>
      <c r="E105" t="s">
        <v>3794</v>
      </c>
      <c r="F105" t="s">
        <v>3547</v>
      </c>
      <c r="G105" t="s">
        <v>3795</v>
      </c>
    </row>
    <row r="106" spans="1:7" ht="11.25" customHeight="1">
      <c r="A106" t="s">
        <v>16</v>
      </c>
      <c r="B106" t="s">
        <v>3787</v>
      </c>
      <c r="C106" t="s">
        <v>3788</v>
      </c>
      <c r="D106" t="s">
        <v>3796</v>
      </c>
      <c r="E106" t="s">
        <v>3797</v>
      </c>
      <c r="F106" t="s">
        <v>3547</v>
      </c>
      <c r="G106" t="s">
        <v>3798</v>
      </c>
    </row>
    <row r="107" spans="1:7" ht="11.25" customHeight="1">
      <c r="A107" t="s">
        <v>16</v>
      </c>
      <c r="B107" t="s">
        <v>3787</v>
      </c>
      <c r="C107" t="s">
        <v>3788</v>
      </c>
      <c r="D107" t="s">
        <v>3799</v>
      </c>
      <c r="E107" t="s">
        <v>3800</v>
      </c>
      <c r="F107" t="s">
        <v>3547</v>
      </c>
      <c r="G107" t="s">
        <v>3801</v>
      </c>
    </row>
    <row r="108" spans="1:7" ht="11.25" customHeight="1">
      <c r="A108" t="s">
        <v>16</v>
      </c>
      <c r="B108" t="s">
        <v>3787</v>
      </c>
      <c r="C108" t="s">
        <v>3788</v>
      </c>
      <c r="D108" t="s">
        <v>3802</v>
      </c>
      <c r="E108" t="s">
        <v>3803</v>
      </c>
      <c r="F108" t="s">
        <v>3547</v>
      </c>
      <c r="G108" t="s">
        <v>3804</v>
      </c>
    </row>
    <row r="109" spans="1:7" ht="11.25" customHeight="1">
      <c r="A109" t="s">
        <v>16</v>
      </c>
      <c r="B109" t="s">
        <v>3787</v>
      </c>
      <c r="C109" t="s">
        <v>3788</v>
      </c>
      <c r="D109" t="s">
        <v>3805</v>
      </c>
      <c r="E109" t="s">
        <v>3806</v>
      </c>
      <c r="F109" t="s">
        <v>3547</v>
      </c>
      <c r="G109" t="s">
        <v>3807</v>
      </c>
    </row>
    <row r="110" spans="1:7" ht="11.25" customHeight="1">
      <c r="A110" t="s">
        <v>16</v>
      </c>
      <c r="B110" t="s">
        <v>3787</v>
      </c>
      <c r="C110" t="s">
        <v>3788</v>
      </c>
      <c r="D110" t="s">
        <v>3808</v>
      </c>
      <c r="E110" t="s">
        <v>3809</v>
      </c>
      <c r="F110" t="s">
        <v>3547</v>
      </c>
      <c r="G110" t="s">
        <v>3810</v>
      </c>
    </row>
    <row r="111" spans="1:7" ht="11.25" customHeight="1">
      <c r="A111" t="s">
        <v>16</v>
      </c>
      <c r="B111" t="s">
        <v>3787</v>
      </c>
      <c r="C111" t="s">
        <v>3788</v>
      </c>
      <c r="D111" t="s">
        <v>3811</v>
      </c>
      <c r="E111" t="s">
        <v>3812</v>
      </c>
      <c r="F111" t="s">
        <v>3547</v>
      </c>
      <c r="G111" t="s">
        <v>3813</v>
      </c>
    </row>
    <row r="112" spans="1:7" ht="11.25" customHeight="1">
      <c r="A112" t="s">
        <v>16</v>
      </c>
      <c r="B112" t="s">
        <v>3787</v>
      </c>
      <c r="C112" t="s">
        <v>3788</v>
      </c>
      <c r="D112" t="s">
        <v>3814</v>
      </c>
      <c r="E112" t="s">
        <v>3815</v>
      </c>
      <c r="F112" t="s">
        <v>3547</v>
      </c>
      <c r="G112" t="s">
        <v>3816</v>
      </c>
    </row>
    <row r="113" spans="1:7" ht="11.25" customHeight="1">
      <c r="A113" t="s">
        <v>16</v>
      </c>
      <c r="B113" t="s">
        <v>3787</v>
      </c>
      <c r="C113" t="s">
        <v>3788</v>
      </c>
      <c r="D113" t="s">
        <v>3817</v>
      </c>
      <c r="E113" t="s">
        <v>3818</v>
      </c>
      <c r="F113" t="s">
        <v>3547</v>
      </c>
      <c r="G113" t="s">
        <v>3819</v>
      </c>
    </row>
    <row r="114" spans="1:7" ht="11.25" customHeight="1">
      <c r="A114" t="s">
        <v>16</v>
      </c>
      <c r="B114" t="s">
        <v>3787</v>
      </c>
      <c r="C114" t="s">
        <v>3788</v>
      </c>
      <c r="D114" t="s">
        <v>3820</v>
      </c>
      <c r="E114" t="s">
        <v>3821</v>
      </c>
      <c r="F114" t="s">
        <v>3547</v>
      </c>
      <c r="G114" t="s">
        <v>3822</v>
      </c>
    </row>
    <row r="115" spans="1:7" ht="11.25" customHeight="1">
      <c r="A115" t="s">
        <v>16</v>
      </c>
      <c r="B115" t="s">
        <v>3787</v>
      </c>
      <c r="C115" t="s">
        <v>3788</v>
      </c>
      <c r="D115" t="s">
        <v>3823</v>
      </c>
      <c r="E115" t="s">
        <v>3824</v>
      </c>
      <c r="F115" t="s">
        <v>3547</v>
      </c>
      <c r="G115" t="s">
        <v>3825</v>
      </c>
    </row>
    <row r="116" spans="1:7" ht="11.25" customHeight="1">
      <c r="A116" t="s">
        <v>16</v>
      </c>
      <c r="B116" t="s">
        <v>3787</v>
      </c>
      <c r="C116" t="s">
        <v>3788</v>
      </c>
      <c r="D116" t="s">
        <v>3826</v>
      </c>
      <c r="E116" t="s">
        <v>3827</v>
      </c>
      <c r="F116" t="s">
        <v>3547</v>
      </c>
      <c r="G116" t="s">
        <v>3828</v>
      </c>
    </row>
    <row r="117" spans="1:7" ht="11.25" customHeight="1">
      <c r="A117" t="s">
        <v>16</v>
      </c>
      <c r="B117" t="s">
        <v>3787</v>
      </c>
      <c r="C117" t="s">
        <v>3788</v>
      </c>
      <c r="D117" t="s">
        <v>3829</v>
      </c>
      <c r="E117" t="s">
        <v>3830</v>
      </c>
      <c r="F117" t="s">
        <v>3547</v>
      </c>
      <c r="G117" t="s">
        <v>3831</v>
      </c>
    </row>
    <row r="118" spans="1:7" ht="11.25" customHeight="1">
      <c r="A118" t="s">
        <v>16</v>
      </c>
      <c r="B118" t="s">
        <v>3787</v>
      </c>
      <c r="C118" t="s">
        <v>3788</v>
      </c>
      <c r="D118" t="s">
        <v>3832</v>
      </c>
      <c r="E118" t="s">
        <v>3833</v>
      </c>
      <c r="F118" t="s">
        <v>3547</v>
      </c>
      <c r="G118" t="s">
        <v>3834</v>
      </c>
    </row>
    <row r="119" spans="1:7" ht="11.25" customHeight="1">
      <c r="A119" t="s">
        <v>16</v>
      </c>
      <c r="B119" t="s">
        <v>3787</v>
      </c>
      <c r="C119" t="s">
        <v>3788</v>
      </c>
      <c r="D119" t="s">
        <v>3835</v>
      </c>
      <c r="E119" t="s">
        <v>3836</v>
      </c>
      <c r="F119" t="s">
        <v>3547</v>
      </c>
      <c r="G119" t="s">
        <v>3837</v>
      </c>
    </row>
    <row r="120" spans="1:7" ht="11.25" customHeight="1">
      <c r="A120" t="s">
        <v>16</v>
      </c>
      <c r="B120" t="s">
        <v>3787</v>
      </c>
      <c r="C120" t="s">
        <v>3788</v>
      </c>
      <c r="D120" t="s">
        <v>3838</v>
      </c>
      <c r="E120" t="s">
        <v>3839</v>
      </c>
      <c r="F120" t="s">
        <v>3547</v>
      </c>
      <c r="G120" t="s">
        <v>3840</v>
      </c>
    </row>
    <row r="121" spans="1:7" ht="11.25" customHeight="1">
      <c r="A121" t="s">
        <v>16</v>
      </c>
      <c r="B121" t="s">
        <v>3787</v>
      </c>
      <c r="C121" t="s">
        <v>3788</v>
      </c>
      <c r="D121" t="s">
        <v>3841</v>
      </c>
      <c r="E121" t="s">
        <v>3842</v>
      </c>
      <c r="F121" t="s">
        <v>3547</v>
      </c>
      <c r="G121" t="s">
        <v>3843</v>
      </c>
    </row>
    <row r="122" spans="1:7" ht="11.25" customHeight="1">
      <c r="A122" t="s">
        <v>16</v>
      </c>
      <c r="B122" t="s">
        <v>3787</v>
      </c>
      <c r="C122" t="s">
        <v>3788</v>
      </c>
      <c r="D122" t="s">
        <v>3844</v>
      </c>
      <c r="E122" t="s">
        <v>3845</v>
      </c>
      <c r="F122" t="s">
        <v>3547</v>
      </c>
      <c r="G122" t="s">
        <v>3846</v>
      </c>
    </row>
    <row r="123" spans="1:7" ht="11.25" customHeight="1">
      <c r="A123" t="s">
        <v>16</v>
      </c>
      <c r="B123" t="s">
        <v>3787</v>
      </c>
      <c r="C123" t="s">
        <v>3788</v>
      </c>
      <c r="D123" t="s">
        <v>3847</v>
      </c>
      <c r="E123" t="s">
        <v>3848</v>
      </c>
      <c r="F123" t="s">
        <v>3649</v>
      </c>
      <c r="G123" t="s">
        <v>3849</v>
      </c>
    </row>
    <row r="124" spans="1:7" ht="11.25" customHeight="1">
      <c r="A124" t="s">
        <v>16</v>
      </c>
      <c r="B124" t="s">
        <v>3850</v>
      </c>
      <c r="C124" t="s">
        <v>3851</v>
      </c>
      <c r="D124" t="s">
        <v>3850</v>
      </c>
      <c r="E124" t="s">
        <v>3851</v>
      </c>
      <c r="F124" t="s">
        <v>3544</v>
      </c>
      <c r="G124" t="s">
        <v>3852</v>
      </c>
    </row>
    <row r="125" spans="1:7" ht="11.25" customHeight="1">
      <c r="A125" t="s">
        <v>16</v>
      </c>
      <c r="B125" t="s">
        <v>3850</v>
      </c>
      <c r="C125" t="s">
        <v>3851</v>
      </c>
      <c r="D125" t="s">
        <v>3853</v>
      </c>
      <c r="E125" t="s">
        <v>3854</v>
      </c>
      <c r="F125" t="s">
        <v>3547</v>
      </c>
      <c r="G125" t="s">
        <v>3855</v>
      </c>
    </row>
    <row r="126" spans="1:7" ht="11.25" customHeight="1">
      <c r="A126" t="s">
        <v>16</v>
      </c>
      <c r="B126" t="s">
        <v>3850</v>
      </c>
      <c r="C126" t="s">
        <v>3851</v>
      </c>
      <c r="D126" t="s">
        <v>3856</v>
      </c>
      <c r="E126" t="s">
        <v>3857</v>
      </c>
      <c r="F126" t="s">
        <v>3547</v>
      </c>
      <c r="G126" t="s">
        <v>3858</v>
      </c>
    </row>
    <row r="127" spans="1:7" ht="11.25" customHeight="1">
      <c r="A127" t="s">
        <v>16</v>
      </c>
      <c r="B127" t="s">
        <v>3850</v>
      </c>
      <c r="C127" t="s">
        <v>3851</v>
      </c>
      <c r="D127" t="s">
        <v>3859</v>
      </c>
      <c r="E127" t="s">
        <v>3860</v>
      </c>
      <c r="F127" t="s">
        <v>3547</v>
      </c>
      <c r="G127" t="s">
        <v>3861</v>
      </c>
    </row>
    <row r="128" spans="1:7" ht="11.25" customHeight="1">
      <c r="A128" t="s">
        <v>16</v>
      </c>
      <c r="B128" t="s">
        <v>3850</v>
      </c>
      <c r="C128" t="s">
        <v>3851</v>
      </c>
      <c r="D128" t="s">
        <v>3862</v>
      </c>
      <c r="E128" t="s">
        <v>3863</v>
      </c>
      <c r="F128" t="s">
        <v>3547</v>
      </c>
      <c r="G128" t="s">
        <v>3864</v>
      </c>
    </row>
    <row r="129" spans="1:7" ht="11.25" customHeight="1">
      <c r="A129" t="s">
        <v>16</v>
      </c>
      <c r="B129" t="s">
        <v>3850</v>
      </c>
      <c r="C129" t="s">
        <v>3851</v>
      </c>
      <c r="D129" t="s">
        <v>3865</v>
      </c>
      <c r="E129" t="s">
        <v>3866</v>
      </c>
      <c r="F129" t="s">
        <v>3547</v>
      </c>
      <c r="G129" t="s">
        <v>3867</v>
      </c>
    </row>
    <row r="130" spans="1:7" ht="11.25" customHeight="1">
      <c r="A130" t="s">
        <v>16</v>
      </c>
      <c r="B130" t="s">
        <v>3850</v>
      </c>
      <c r="C130" t="s">
        <v>3851</v>
      </c>
      <c r="D130" t="s">
        <v>3868</v>
      </c>
      <c r="E130" t="s">
        <v>3869</v>
      </c>
      <c r="F130" t="s">
        <v>3547</v>
      </c>
      <c r="G130" t="s">
        <v>3870</v>
      </c>
    </row>
    <row r="131" spans="1:7" ht="11.25" customHeight="1">
      <c r="A131" t="s">
        <v>16</v>
      </c>
      <c r="B131" t="s">
        <v>3850</v>
      </c>
      <c r="C131" t="s">
        <v>3851</v>
      </c>
      <c r="D131" t="s">
        <v>3871</v>
      </c>
      <c r="E131" t="s">
        <v>3872</v>
      </c>
      <c r="F131" t="s">
        <v>3547</v>
      </c>
      <c r="G131" t="s">
        <v>3873</v>
      </c>
    </row>
    <row r="132" spans="1:7" ht="11.25" customHeight="1">
      <c r="A132" t="s">
        <v>16</v>
      </c>
      <c r="B132" t="s">
        <v>3850</v>
      </c>
      <c r="C132" t="s">
        <v>3851</v>
      </c>
      <c r="D132" t="s">
        <v>3874</v>
      </c>
      <c r="E132" t="s">
        <v>3875</v>
      </c>
      <c r="F132" t="s">
        <v>3547</v>
      </c>
      <c r="G132" t="s">
        <v>3876</v>
      </c>
    </row>
    <row r="133" spans="1:7" ht="11.25" customHeight="1">
      <c r="A133" t="s">
        <v>16</v>
      </c>
      <c r="B133" t="s">
        <v>3850</v>
      </c>
      <c r="C133" t="s">
        <v>3851</v>
      </c>
      <c r="D133" t="s">
        <v>3877</v>
      </c>
      <c r="E133" t="s">
        <v>3878</v>
      </c>
      <c r="F133" t="s">
        <v>3547</v>
      </c>
      <c r="G133" t="s">
        <v>3879</v>
      </c>
    </row>
    <row r="134" spans="1:7" ht="11.25" customHeight="1">
      <c r="A134" t="s">
        <v>16</v>
      </c>
      <c r="B134" t="s">
        <v>3850</v>
      </c>
      <c r="C134" t="s">
        <v>3851</v>
      </c>
      <c r="D134" t="s">
        <v>3880</v>
      </c>
      <c r="E134" t="s">
        <v>3881</v>
      </c>
      <c r="F134" t="s">
        <v>3547</v>
      </c>
      <c r="G134" t="s">
        <v>3882</v>
      </c>
    </row>
    <row r="135" spans="1:7" ht="11.25" customHeight="1">
      <c r="A135" t="s">
        <v>16</v>
      </c>
      <c r="B135" t="s">
        <v>3850</v>
      </c>
      <c r="C135" t="s">
        <v>3851</v>
      </c>
      <c r="D135" t="s">
        <v>3883</v>
      </c>
      <c r="E135" t="s">
        <v>3884</v>
      </c>
      <c r="F135" t="s">
        <v>3547</v>
      </c>
      <c r="G135" t="s">
        <v>3885</v>
      </c>
    </row>
    <row r="136" spans="1:7" ht="11.25" customHeight="1">
      <c r="A136" t="s">
        <v>16</v>
      </c>
      <c r="B136" t="s">
        <v>3850</v>
      </c>
      <c r="C136" t="s">
        <v>3851</v>
      </c>
      <c r="D136" t="s">
        <v>3886</v>
      </c>
      <c r="E136" t="s">
        <v>3887</v>
      </c>
      <c r="F136" t="s">
        <v>3547</v>
      </c>
      <c r="G136" t="s">
        <v>3888</v>
      </c>
    </row>
    <row r="137" spans="1:7" ht="11.25" customHeight="1">
      <c r="A137" t="s">
        <v>16</v>
      </c>
      <c r="B137" t="s">
        <v>3850</v>
      </c>
      <c r="C137" t="s">
        <v>3851</v>
      </c>
      <c r="D137" t="s">
        <v>3889</v>
      </c>
      <c r="E137" t="s">
        <v>3890</v>
      </c>
      <c r="F137" t="s">
        <v>3547</v>
      </c>
      <c r="G137" t="s">
        <v>3891</v>
      </c>
    </row>
    <row r="138" spans="1:7" ht="11.25" customHeight="1">
      <c r="A138" t="s">
        <v>16</v>
      </c>
      <c r="B138" t="s">
        <v>3850</v>
      </c>
      <c r="C138" t="s">
        <v>3851</v>
      </c>
      <c r="D138" t="s">
        <v>3892</v>
      </c>
      <c r="E138" t="s">
        <v>3893</v>
      </c>
      <c r="F138" t="s">
        <v>3547</v>
      </c>
      <c r="G138" t="s">
        <v>3894</v>
      </c>
    </row>
    <row r="139" spans="1:7" ht="11.25" customHeight="1">
      <c r="A139" t="s">
        <v>16</v>
      </c>
      <c r="B139" t="s">
        <v>3850</v>
      </c>
      <c r="C139" t="s">
        <v>3851</v>
      </c>
      <c r="D139" t="s">
        <v>3895</v>
      </c>
      <c r="E139" t="s">
        <v>3896</v>
      </c>
      <c r="F139" t="s">
        <v>3547</v>
      </c>
      <c r="G139" t="s">
        <v>3897</v>
      </c>
    </row>
    <row r="140" spans="1:7" ht="11.25" customHeight="1">
      <c r="A140" t="s">
        <v>16</v>
      </c>
      <c r="B140" t="s">
        <v>3850</v>
      </c>
      <c r="C140" t="s">
        <v>3851</v>
      </c>
      <c r="D140" t="s">
        <v>3898</v>
      </c>
      <c r="E140" t="s">
        <v>3899</v>
      </c>
      <c r="F140" t="s">
        <v>3547</v>
      </c>
      <c r="G140" t="s">
        <v>3900</v>
      </c>
    </row>
    <row r="141" spans="1:7" ht="11.25" customHeight="1">
      <c r="A141" t="s">
        <v>16</v>
      </c>
      <c r="B141" t="s">
        <v>3850</v>
      </c>
      <c r="C141" t="s">
        <v>3851</v>
      </c>
      <c r="D141" t="s">
        <v>3901</v>
      </c>
      <c r="E141" t="s">
        <v>3902</v>
      </c>
      <c r="F141" t="s">
        <v>3547</v>
      </c>
      <c r="G141" t="s">
        <v>3903</v>
      </c>
    </row>
    <row r="142" spans="1:7" ht="11.25" customHeight="1">
      <c r="A142" t="s">
        <v>16</v>
      </c>
      <c r="B142" t="s">
        <v>3850</v>
      </c>
      <c r="C142" t="s">
        <v>3851</v>
      </c>
      <c r="D142" t="s">
        <v>3904</v>
      </c>
      <c r="E142" t="s">
        <v>3905</v>
      </c>
      <c r="F142" t="s">
        <v>3547</v>
      </c>
      <c r="G142" t="s">
        <v>3906</v>
      </c>
    </row>
    <row r="143" spans="1:7" ht="11.25" customHeight="1">
      <c r="A143" t="s">
        <v>16</v>
      </c>
      <c r="B143" t="s">
        <v>3850</v>
      </c>
      <c r="C143" t="s">
        <v>3851</v>
      </c>
      <c r="D143" t="s">
        <v>3907</v>
      </c>
      <c r="E143" t="s">
        <v>3908</v>
      </c>
      <c r="F143" t="s">
        <v>3547</v>
      </c>
      <c r="G143" t="s">
        <v>3909</v>
      </c>
    </row>
    <row r="144" spans="1:7" ht="11.25" customHeight="1">
      <c r="A144" t="s">
        <v>16</v>
      </c>
      <c r="B144" t="s">
        <v>3850</v>
      </c>
      <c r="C144" t="s">
        <v>3851</v>
      </c>
      <c r="D144" t="s">
        <v>3910</v>
      </c>
      <c r="E144" t="s">
        <v>3911</v>
      </c>
      <c r="F144" t="s">
        <v>3547</v>
      </c>
      <c r="G144" t="s">
        <v>3912</v>
      </c>
    </row>
    <row r="145" spans="1:7" ht="11.25" customHeight="1">
      <c r="A145" t="s">
        <v>16</v>
      </c>
      <c r="B145" t="s">
        <v>3850</v>
      </c>
      <c r="C145" t="s">
        <v>3851</v>
      </c>
      <c r="D145" t="s">
        <v>3913</v>
      </c>
      <c r="E145" t="s">
        <v>3914</v>
      </c>
      <c r="F145" t="s">
        <v>3547</v>
      </c>
      <c r="G145" t="s">
        <v>3915</v>
      </c>
    </row>
    <row r="146" spans="1:7" ht="11.25" customHeight="1">
      <c r="A146" t="s">
        <v>16</v>
      </c>
      <c r="B146" t="s">
        <v>3916</v>
      </c>
      <c r="C146" t="s">
        <v>3917</v>
      </c>
      <c r="D146" t="s">
        <v>3918</v>
      </c>
      <c r="E146" t="s">
        <v>3919</v>
      </c>
      <c r="F146" t="s">
        <v>3547</v>
      </c>
      <c r="G146" t="s">
        <v>3920</v>
      </c>
    </row>
    <row r="147" spans="1:7" ht="11.25" customHeight="1">
      <c r="A147" t="s">
        <v>16</v>
      </c>
      <c r="B147" t="s">
        <v>3916</v>
      </c>
      <c r="C147" t="s">
        <v>3917</v>
      </c>
      <c r="D147" t="s">
        <v>3916</v>
      </c>
      <c r="E147" t="s">
        <v>3917</v>
      </c>
      <c r="F147" t="s">
        <v>3544</v>
      </c>
      <c r="G147" t="s">
        <v>3921</v>
      </c>
    </row>
    <row r="148" spans="1:7" ht="11.25" customHeight="1">
      <c r="A148" t="s">
        <v>16</v>
      </c>
      <c r="B148" t="s">
        <v>3916</v>
      </c>
      <c r="C148" t="s">
        <v>3917</v>
      </c>
      <c r="D148" t="s">
        <v>3922</v>
      </c>
      <c r="E148" t="s">
        <v>3923</v>
      </c>
      <c r="F148" t="s">
        <v>3547</v>
      </c>
      <c r="G148" t="s">
        <v>3924</v>
      </c>
    </row>
    <row r="149" spans="1:7" ht="11.25" customHeight="1">
      <c r="A149" t="s">
        <v>16</v>
      </c>
      <c r="B149" t="s">
        <v>3916</v>
      </c>
      <c r="C149" t="s">
        <v>3917</v>
      </c>
      <c r="D149" t="s">
        <v>3853</v>
      </c>
      <c r="E149" t="s">
        <v>3925</v>
      </c>
      <c r="F149" t="s">
        <v>3547</v>
      </c>
      <c r="G149" t="s">
        <v>3926</v>
      </c>
    </row>
    <row r="150" spans="1:7" ht="11.25" customHeight="1">
      <c r="A150" t="s">
        <v>16</v>
      </c>
      <c r="B150" t="s">
        <v>3916</v>
      </c>
      <c r="C150" t="s">
        <v>3917</v>
      </c>
      <c r="D150" t="s">
        <v>3927</v>
      </c>
      <c r="E150" t="s">
        <v>3928</v>
      </c>
      <c r="F150" t="s">
        <v>3547</v>
      </c>
      <c r="G150" t="s">
        <v>3929</v>
      </c>
    </row>
    <row r="151" spans="1:7" ht="11.25" customHeight="1">
      <c r="A151" t="s">
        <v>16</v>
      </c>
      <c r="B151" t="s">
        <v>3916</v>
      </c>
      <c r="C151" t="s">
        <v>3917</v>
      </c>
      <c r="D151" t="s">
        <v>3930</v>
      </c>
      <c r="E151" t="s">
        <v>3931</v>
      </c>
      <c r="F151" t="s">
        <v>3547</v>
      </c>
      <c r="G151" t="s">
        <v>3932</v>
      </c>
    </row>
    <row r="152" spans="1:7" ht="11.25" customHeight="1">
      <c r="A152" t="s">
        <v>16</v>
      </c>
      <c r="B152" t="s">
        <v>3916</v>
      </c>
      <c r="C152" t="s">
        <v>3917</v>
      </c>
      <c r="D152" t="s">
        <v>3859</v>
      </c>
      <c r="E152" t="s">
        <v>3933</v>
      </c>
      <c r="F152" t="s">
        <v>3547</v>
      </c>
      <c r="G152" t="s">
        <v>3934</v>
      </c>
    </row>
    <row r="153" spans="1:7" ht="11.25" customHeight="1">
      <c r="A153" t="s">
        <v>16</v>
      </c>
      <c r="B153" t="s">
        <v>3916</v>
      </c>
      <c r="C153" t="s">
        <v>3917</v>
      </c>
      <c r="D153" t="s">
        <v>3935</v>
      </c>
      <c r="E153" t="s">
        <v>3936</v>
      </c>
      <c r="F153" t="s">
        <v>3547</v>
      </c>
      <c r="G153" t="s">
        <v>3937</v>
      </c>
    </row>
    <row r="154" spans="1:7" ht="11.25" customHeight="1">
      <c r="A154" t="s">
        <v>16</v>
      </c>
      <c r="B154" t="s">
        <v>3916</v>
      </c>
      <c r="C154" t="s">
        <v>3917</v>
      </c>
      <c r="D154" t="s">
        <v>3938</v>
      </c>
      <c r="E154" t="s">
        <v>3939</v>
      </c>
      <c r="F154" t="s">
        <v>3547</v>
      </c>
      <c r="G154" t="s">
        <v>3940</v>
      </c>
    </row>
    <row r="155" spans="1:7" ht="11.25" customHeight="1">
      <c r="A155" t="s">
        <v>16</v>
      </c>
      <c r="B155" t="s">
        <v>3916</v>
      </c>
      <c r="C155" t="s">
        <v>3917</v>
      </c>
      <c r="D155" t="s">
        <v>3941</v>
      </c>
      <c r="E155" t="s">
        <v>3942</v>
      </c>
      <c r="F155" t="s">
        <v>3547</v>
      </c>
      <c r="G155" t="s">
        <v>3943</v>
      </c>
    </row>
    <row r="156" spans="1:7" ht="11.25" customHeight="1">
      <c r="A156" t="s">
        <v>16</v>
      </c>
      <c r="B156" t="s">
        <v>3916</v>
      </c>
      <c r="C156" t="s">
        <v>3917</v>
      </c>
      <c r="D156" t="s">
        <v>3944</v>
      </c>
      <c r="E156" t="s">
        <v>3945</v>
      </c>
      <c r="F156" t="s">
        <v>3547</v>
      </c>
      <c r="G156" t="s">
        <v>3946</v>
      </c>
    </row>
    <row r="157" spans="1:7" ht="11.25" customHeight="1">
      <c r="A157" t="s">
        <v>16</v>
      </c>
      <c r="B157" t="s">
        <v>3916</v>
      </c>
      <c r="C157" t="s">
        <v>3917</v>
      </c>
      <c r="D157" t="s">
        <v>3947</v>
      </c>
      <c r="E157" t="s">
        <v>3948</v>
      </c>
      <c r="F157" t="s">
        <v>3552</v>
      </c>
      <c r="G157" t="s">
        <v>3949</v>
      </c>
    </row>
    <row r="158" spans="1:7" ht="11.25" customHeight="1">
      <c r="A158" t="s">
        <v>16</v>
      </c>
      <c r="B158" t="s">
        <v>3916</v>
      </c>
      <c r="C158" t="s">
        <v>3917</v>
      </c>
      <c r="D158" t="s">
        <v>3950</v>
      </c>
      <c r="E158" t="s">
        <v>3951</v>
      </c>
      <c r="F158" t="s">
        <v>3547</v>
      </c>
      <c r="G158" t="s">
        <v>3952</v>
      </c>
    </row>
    <row r="159" spans="1:7" ht="11.25" customHeight="1">
      <c r="A159" t="s">
        <v>16</v>
      </c>
      <c r="B159" t="s">
        <v>3916</v>
      </c>
      <c r="C159" t="s">
        <v>3917</v>
      </c>
      <c r="D159" t="s">
        <v>3953</v>
      </c>
      <c r="E159" t="s">
        <v>3954</v>
      </c>
      <c r="F159" t="s">
        <v>3547</v>
      </c>
      <c r="G159" t="s">
        <v>3955</v>
      </c>
    </row>
    <row r="160" spans="1:7" ht="11.25" customHeight="1">
      <c r="A160" t="s">
        <v>16</v>
      </c>
      <c r="B160" t="s">
        <v>3916</v>
      </c>
      <c r="C160" t="s">
        <v>3917</v>
      </c>
      <c r="D160" t="s">
        <v>3956</v>
      </c>
      <c r="E160" t="s">
        <v>3957</v>
      </c>
      <c r="F160" t="s">
        <v>3547</v>
      </c>
      <c r="G160" t="s">
        <v>3958</v>
      </c>
    </row>
    <row r="161" spans="1:7" ht="11.25" customHeight="1">
      <c r="A161" t="s">
        <v>16</v>
      </c>
      <c r="B161" t="s">
        <v>3916</v>
      </c>
      <c r="C161" t="s">
        <v>3917</v>
      </c>
      <c r="D161" t="s">
        <v>3959</v>
      </c>
      <c r="E161" t="s">
        <v>3960</v>
      </c>
      <c r="F161" t="s">
        <v>3547</v>
      </c>
      <c r="G161" t="s">
        <v>3961</v>
      </c>
    </row>
    <row r="162" spans="1:7" ht="11.25" customHeight="1">
      <c r="A162" t="s">
        <v>16</v>
      </c>
      <c r="B162" t="s">
        <v>3916</v>
      </c>
      <c r="C162" t="s">
        <v>3917</v>
      </c>
      <c r="D162" t="s">
        <v>3962</v>
      </c>
      <c r="E162" t="s">
        <v>3963</v>
      </c>
      <c r="F162" t="s">
        <v>3547</v>
      </c>
      <c r="G162" t="s">
        <v>3964</v>
      </c>
    </row>
    <row r="163" spans="1:7" ht="11.25" customHeight="1">
      <c r="A163" t="s">
        <v>16</v>
      </c>
      <c r="B163" t="s">
        <v>3916</v>
      </c>
      <c r="C163" t="s">
        <v>3917</v>
      </c>
      <c r="D163" t="s">
        <v>3965</v>
      </c>
      <c r="E163" t="s">
        <v>3966</v>
      </c>
      <c r="F163" t="s">
        <v>3547</v>
      </c>
      <c r="G163" t="s">
        <v>3967</v>
      </c>
    </row>
    <row r="164" spans="1:7" ht="11.25" customHeight="1">
      <c r="A164" t="s">
        <v>16</v>
      </c>
      <c r="B164" t="s">
        <v>3916</v>
      </c>
      <c r="C164" t="s">
        <v>3917</v>
      </c>
      <c r="D164" t="s">
        <v>3968</v>
      </c>
      <c r="E164" t="s">
        <v>3969</v>
      </c>
      <c r="F164" t="s">
        <v>3547</v>
      </c>
      <c r="G164" t="s">
        <v>3970</v>
      </c>
    </row>
    <row r="165" spans="1:7" ht="11.25" customHeight="1">
      <c r="A165" t="s">
        <v>16</v>
      </c>
      <c r="B165" t="s">
        <v>3916</v>
      </c>
      <c r="C165" t="s">
        <v>3917</v>
      </c>
      <c r="D165" t="s">
        <v>3971</v>
      </c>
      <c r="E165" t="s">
        <v>3972</v>
      </c>
      <c r="F165" t="s">
        <v>3547</v>
      </c>
      <c r="G165" t="s">
        <v>3973</v>
      </c>
    </row>
    <row r="166" spans="1:7" ht="11.25" customHeight="1">
      <c r="A166" t="s">
        <v>16</v>
      </c>
      <c r="B166" t="s">
        <v>3916</v>
      </c>
      <c r="C166" t="s">
        <v>3917</v>
      </c>
      <c r="D166" t="s">
        <v>3974</v>
      </c>
      <c r="E166" t="s">
        <v>3975</v>
      </c>
      <c r="F166" t="s">
        <v>3547</v>
      </c>
      <c r="G166" t="s">
        <v>3976</v>
      </c>
    </row>
    <row r="167" spans="1:7" ht="11.25" customHeight="1">
      <c r="A167" t="s">
        <v>16</v>
      </c>
      <c r="B167" t="s">
        <v>3916</v>
      </c>
      <c r="C167" t="s">
        <v>3917</v>
      </c>
      <c r="D167" t="s">
        <v>3977</v>
      </c>
      <c r="E167" t="s">
        <v>3978</v>
      </c>
      <c r="F167" t="s">
        <v>3547</v>
      </c>
      <c r="G167" t="s">
        <v>3979</v>
      </c>
    </row>
    <row r="168" spans="1:7" ht="11.25" customHeight="1">
      <c r="A168" t="s">
        <v>16</v>
      </c>
      <c r="B168" t="s">
        <v>3916</v>
      </c>
      <c r="C168" t="s">
        <v>3917</v>
      </c>
      <c r="D168" t="s">
        <v>3980</v>
      </c>
      <c r="E168" t="s">
        <v>3981</v>
      </c>
      <c r="F168" t="s">
        <v>3547</v>
      </c>
      <c r="G168" t="s">
        <v>3982</v>
      </c>
    </row>
    <row r="169" spans="1:7" ht="11.25" customHeight="1">
      <c r="A169" t="s">
        <v>16</v>
      </c>
      <c r="B169" t="s">
        <v>3916</v>
      </c>
      <c r="C169" t="s">
        <v>3917</v>
      </c>
      <c r="D169" t="s">
        <v>3983</v>
      </c>
      <c r="E169" t="s">
        <v>3984</v>
      </c>
      <c r="F169" t="s">
        <v>3547</v>
      </c>
      <c r="G169" t="s">
        <v>3985</v>
      </c>
    </row>
    <row r="170" spans="1:7" ht="11.25" customHeight="1">
      <c r="A170" t="s">
        <v>16</v>
      </c>
      <c r="B170" t="s">
        <v>3916</v>
      </c>
      <c r="C170" t="s">
        <v>3917</v>
      </c>
      <c r="D170" t="s">
        <v>3986</v>
      </c>
      <c r="E170" t="s">
        <v>3987</v>
      </c>
      <c r="F170" t="s">
        <v>3547</v>
      </c>
      <c r="G170" t="s">
        <v>3988</v>
      </c>
    </row>
    <row r="171" spans="1:7" ht="11.25" customHeight="1">
      <c r="A171" t="s">
        <v>16</v>
      </c>
      <c r="B171" t="s">
        <v>3916</v>
      </c>
      <c r="C171" t="s">
        <v>3917</v>
      </c>
      <c r="D171" t="s">
        <v>3989</v>
      </c>
      <c r="E171" t="s">
        <v>3990</v>
      </c>
      <c r="F171" t="s">
        <v>3547</v>
      </c>
      <c r="G171" t="s">
        <v>3991</v>
      </c>
    </row>
    <row r="172" spans="1:7" ht="11.25" customHeight="1">
      <c r="A172" t="s">
        <v>16</v>
      </c>
      <c r="B172" t="s">
        <v>3916</v>
      </c>
      <c r="C172" t="s">
        <v>3917</v>
      </c>
      <c r="D172" t="s">
        <v>3992</v>
      </c>
      <c r="E172" t="s">
        <v>3993</v>
      </c>
      <c r="F172" t="s">
        <v>3547</v>
      </c>
      <c r="G172" t="s">
        <v>3994</v>
      </c>
    </row>
    <row r="173" spans="1:7" ht="11.25" customHeight="1">
      <c r="A173" t="s">
        <v>16</v>
      </c>
      <c r="B173" t="s">
        <v>3916</v>
      </c>
      <c r="C173" t="s">
        <v>3917</v>
      </c>
      <c r="D173" t="s">
        <v>3995</v>
      </c>
      <c r="E173" t="s">
        <v>3996</v>
      </c>
      <c r="F173" t="s">
        <v>3547</v>
      </c>
      <c r="G173" t="s">
        <v>3997</v>
      </c>
    </row>
    <row r="174" spans="1:7" ht="11.25" customHeight="1">
      <c r="A174" t="s">
        <v>16</v>
      </c>
      <c r="B174" t="s">
        <v>3916</v>
      </c>
      <c r="C174" t="s">
        <v>3917</v>
      </c>
      <c r="D174" t="s">
        <v>3998</v>
      </c>
      <c r="E174" t="s">
        <v>3999</v>
      </c>
      <c r="F174" t="s">
        <v>3547</v>
      </c>
      <c r="G174" t="s">
        <v>4000</v>
      </c>
    </row>
    <row r="175" spans="1:7" ht="11.25" customHeight="1">
      <c r="A175" t="s">
        <v>16</v>
      </c>
      <c r="B175" t="s">
        <v>3916</v>
      </c>
      <c r="C175" t="s">
        <v>3917</v>
      </c>
      <c r="D175" t="s">
        <v>4001</v>
      </c>
      <c r="E175" t="s">
        <v>4002</v>
      </c>
      <c r="F175" t="s">
        <v>3547</v>
      </c>
      <c r="G175" t="s">
        <v>4003</v>
      </c>
    </row>
    <row r="176" spans="1:7" ht="11.25" customHeight="1">
      <c r="A176" t="s">
        <v>16</v>
      </c>
      <c r="B176" t="s">
        <v>3916</v>
      </c>
      <c r="C176" t="s">
        <v>3917</v>
      </c>
      <c r="D176" t="s">
        <v>4004</v>
      </c>
      <c r="E176" t="s">
        <v>4005</v>
      </c>
      <c r="F176" t="s">
        <v>3547</v>
      </c>
      <c r="G176" t="s">
        <v>4006</v>
      </c>
    </row>
    <row r="177" spans="1:7" ht="11.25" customHeight="1">
      <c r="A177" t="s">
        <v>16</v>
      </c>
      <c r="B177" t="s">
        <v>3916</v>
      </c>
      <c r="C177" t="s">
        <v>3917</v>
      </c>
      <c r="D177" t="s">
        <v>4007</v>
      </c>
      <c r="E177" t="s">
        <v>4008</v>
      </c>
      <c r="F177" t="s">
        <v>3547</v>
      </c>
      <c r="G177" t="s">
        <v>4009</v>
      </c>
    </row>
    <row r="178" spans="1:7" ht="11.25" customHeight="1">
      <c r="A178" t="s">
        <v>16</v>
      </c>
      <c r="B178" t="s">
        <v>3916</v>
      </c>
      <c r="C178" t="s">
        <v>3917</v>
      </c>
      <c r="D178" t="s">
        <v>4010</v>
      </c>
      <c r="E178" t="s">
        <v>4011</v>
      </c>
      <c r="F178" t="s">
        <v>3547</v>
      </c>
      <c r="G178" t="s">
        <v>4012</v>
      </c>
    </row>
    <row r="179" spans="1:7" ht="11.25" customHeight="1">
      <c r="A179" t="s">
        <v>16</v>
      </c>
      <c r="B179" t="s">
        <v>3916</v>
      </c>
      <c r="C179" t="s">
        <v>3917</v>
      </c>
      <c r="D179" t="s">
        <v>4013</v>
      </c>
      <c r="E179" t="s">
        <v>4014</v>
      </c>
      <c r="F179" t="s">
        <v>3547</v>
      </c>
      <c r="G179" t="s">
        <v>4015</v>
      </c>
    </row>
    <row r="180" spans="1:7" ht="11.25" customHeight="1">
      <c r="A180" t="s">
        <v>16</v>
      </c>
      <c r="B180" t="s">
        <v>3916</v>
      </c>
      <c r="C180" t="s">
        <v>3917</v>
      </c>
      <c r="D180" t="s">
        <v>4016</v>
      </c>
      <c r="E180" t="s">
        <v>4017</v>
      </c>
      <c r="F180" t="s">
        <v>3547</v>
      </c>
      <c r="G180" t="s">
        <v>4018</v>
      </c>
    </row>
    <row r="181" spans="1:7" ht="11.25" customHeight="1">
      <c r="A181" t="s">
        <v>16</v>
      </c>
      <c r="B181" t="s">
        <v>3916</v>
      </c>
      <c r="C181" t="s">
        <v>3917</v>
      </c>
      <c r="D181" t="s">
        <v>4019</v>
      </c>
      <c r="E181" t="s">
        <v>4020</v>
      </c>
      <c r="F181" t="s">
        <v>3547</v>
      </c>
      <c r="G181" t="s">
        <v>4021</v>
      </c>
    </row>
    <row r="182" spans="1:7" ht="11.25" customHeight="1">
      <c r="A182" t="s">
        <v>16</v>
      </c>
      <c r="B182" t="s">
        <v>3916</v>
      </c>
      <c r="C182" t="s">
        <v>3917</v>
      </c>
      <c r="D182" t="s">
        <v>4022</v>
      </c>
      <c r="E182" t="s">
        <v>4023</v>
      </c>
      <c r="F182" t="s">
        <v>3547</v>
      </c>
      <c r="G182" t="s">
        <v>4024</v>
      </c>
    </row>
    <row r="183" spans="1:7" ht="11.25" customHeight="1">
      <c r="A183" t="s">
        <v>16</v>
      </c>
      <c r="B183" t="s">
        <v>3916</v>
      </c>
      <c r="C183" t="s">
        <v>3917</v>
      </c>
      <c r="D183" t="s">
        <v>4025</v>
      </c>
      <c r="E183" t="s">
        <v>4026</v>
      </c>
      <c r="F183" t="s">
        <v>3552</v>
      </c>
      <c r="G183" t="s">
        <v>4027</v>
      </c>
    </row>
    <row r="184" spans="1:7" ht="11.25" customHeight="1">
      <c r="A184" t="s">
        <v>16</v>
      </c>
      <c r="B184" t="s">
        <v>4028</v>
      </c>
      <c r="C184" t="s">
        <v>4029</v>
      </c>
      <c r="D184" t="s">
        <v>4030</v>
      </c>
      <c r="E184" t="s">
        <v>4031</v>
      </c>
      <c r="F184" t="s">
        <v>3547</v>
      </c>
      <c r="G184" t="s">
        <v>4032</v>
      </c>
    </row>
    <row r="185" spans="1:7" ht="11.25" customHeight="1">
      <c r="A185" t="s">
        <v>16</v>
      </c>
      <c r="B185" t="s">
        <v>4028</v>
      </c>
      <c r="C185" t="s">
        <v>4029</v>
      </c>
      <c r="D185" t="s">
        <v>4028</v>
      </c>
      <c r="E185" t="s">
        <v>4029</v>
      </c>
      <c r="F185" t="s">
        <v>3544</v>
      </c>
      <c r="G185" t="s">
        <v>4033</v>
      </c>
    </row>
    <row r="186" spans="1:7" ht="11.25" customHeight="1">
      <c r="A186" t="s">
        <v>16</v>
      </c>
      <c r="B186" t="s">
        <v>4028</v>
      </c>
      <c r="C186" t="s">
        <v>4029</v>
      </c>
      <c r="D186" t="s">
        <v>4034</v>
      </c>
      <c r="E186" t="s">
        <v>4035</v>
      </c>
      <c r="F186" t="s">
        <v>3547</v>
      </c>
      <c r="G186" t="s">
        <v>4036</v>
      </c>
    </row>
    <row r="187" spans="1:7" ht="11.25" customHeight="1">
      <c r="A187" t="s">
        <v>16</v>
      </c>
      <c r="B187" t="s">
        <v>4028</v>
      </c>
      <c r="C187" t="s">
        <v>4029</v>
      </c>
      <c r="D187" t="s">
        <v>4037</v>
      </c>
      <c r="E187" t="s">
        <v>4038</v>
      </c>
      <c r="F187" t="s">
        <v>3547</v>
      </c>
      <c r="G187" t="s">
        <v>4039</v>
      </c>
    </row>
    <row r="188" spans="1:7" ht="11.25" customHeight="1">
      <c r="A188" t="s">
        <v>16</v>
      </c>
      <c r="B188" t="s">
        <v>4028</v>
      </c>
      <c r="C188" t="s">
        <v>4029</v>
      </c>
      <c r="D188" t="s">
        <v>4040</v>
      </c>
      <c r="E188" t="s">
        <v>4041</v>
      </c>
      <c r="F188" t="s">
        <v>3547</v>
      </c>
      <c r="G188" t="s">
        <v>4042</v>
      </c>
    </row>
    <row r="189" spans="1:7" ht="11.25" customHeight="1">
      <c r="A189" t="s">
        <v>16</v>
      </c>
      <c r="B189" t="s">
        <v>4028</v>
      </c>
      <c r="C189" t="s">
        <v>4029</v>
      </c>
      <c r="D189" t="s">
        <v>4043</v>
      </c>
      <c r="E189" t="s">
        <v>4044</v>
      </c>
      <c r="F189" t="s">
        <v>3547</v>
      </c>
      <c r="G189" t="s">
        <v>4045</v>
      </c>
    </row>
    <row r="190" spans="1:7" ht="11.25" customHeight="1">
      <c r="A190" t="s">
        <v>16</v>
      </c>
      <c r="B190" t="s">
        <v>4028</v>
      </c>
      <c r="C190" t="s">
        <v>4029</v>
      </c>
      <c r="D190" t="s">
        <v>4046</v>
      </c>
      <c r="E190" t="s">
        <v>4047</v>
      </c>
      <c r="F190" t="s">
        <v>3547</v>
      </c>
      <c r="G190" t="s">
        <v>4048</v>
      </c>
    </row>
    <row r="191" spans="1:7" ht="11.25" customHeight="1">
      <c r="A191" t="s">
        <v>16</v>
      </c>
      <c r="B191" t="s">
        <v>4028</v>
      </c>
      <c r="C191" t="s">
        <v>4029</v>
      </c>
      <c r="D191" t="s">
        <v>4049</v>
      </c>
      <c r="E191" t="s">
        <v>4050</v>
      </c>
      <c r="F191" t="s">
        <v>3547</v>
      </c>
      <c r="G191" t="s">
        <v>4051</v>
      </c>
    </row>
    <row r="192" spans="1:7" ht="11.25" customHeight="1">
      <c r="A192" t="s">
        <v>16</v>
      </c>
      <c r="B192" t="s">
        <v>4028</v>
      </c>
      <c r="C192" t="s">
        <v>4029</v>
      </c>
      <c r="D192" t="s">
        <v>4052</v>
      </c>
      <c r="E192" t="s">
        <v>4053</v>
      </c>
      <c r="F192" t="s">
        <v>3547</v>
      </c>
      <c r="G192" t="s">
        <v>4054</v>
      </c>
    </row>
    <row r="193" spans="1:7" ht="11.25" customHeight="1">
      <c r="A193" t="s">
        <v>16</v>
      </c>
      <c r="B193" t="s">
        <v>4028</v>
      </c>
      <c r="C193" t="s">
        <v>4029</v>
      </c>
      <c r="D193" t="s">
        <v>4055</v>
      </c>
      <c r="E193" t="s">
        <v>4056</v>
      </c>
      <c r="F193" t="s">
        <v>3547</v>
      </c>
      <c r="G193" t="s">
        <v>4057</v>
      </c>
    </row>
    <row r="194" spans="1:7" ht="11.25" customHeight="1">
      <c r="A194" t="s">
        <v>16</v>
      </c>
      <c r="B194" t="s">
        <v>4028</v>
      </c>
      <c r="C194" t="s">
        <v>4029</v>
      </c>
      <c r="D194" t="s">
        <v>4058</v>
      </c>
      <c r="E194" t="s">
        <v>4059</v>
      </c>
      <c r="F194" t="s">
        <v>3547</v>
      </c>
      <c r="G194" t="s">
        <v>4060</v>
      </c>
    </row>
    <row r="195" spans="1:7" ht="11.25" customHeight="1">
      <c r="A195" t="s">
        <v>16</v>
      </c>
      <c r="B195" t="s">
        <v>4028</v>
      </c>
      <c r="C195" t="s">
        <v>4029</v>
      </c>
      <c r="D195" t="s">
        <v>4061</v>
      </c>
      <c r="E195" t="s">
        <v>4062</v>
      </c>
      <c r="F195" t="s">
        <v>3547</v>
      </c>
      <c r="G195" t="s">
        <v>4063</v>
      </c>
    </row>
    <row r="196" spans="1:7" ht="11.25" customHeight="1">
      <c r="A196" t="s">
        <v>16</v>
      </c>
      <c r="B196" t="s">
        <v>4028</v>
      </c>
      <c r="C196" t="s">
        <v>4029</v>
      </c>
      <c r="D196" t="s">
        <v>4064</v>
      </c>
      <c r="E196" t="s">
        <v>4065</v>
      </c>
      <c r="F196" t="s">
        <v>3547</v>
      </c>
      <c r="G196" t="s">
        <v>4066</v>
      </c>
    </row>
    <row r="197" spans="1:7" ht="11.25" customHeight="1">
      <c r="A197" t="s">
        <v>16</v>
      </c>
      <c r="B197" t="s">
        <v>4028</v>
      </c>
      <c r="C197" t="s">
        <v>4029</v>
      </c>
      <c r="D197" t="s">
        <v>4067</v>
      </c>
      <c r="E197" t="s">
        <v>4068</v>
      </c>
      <c r="F197" t="s">
        <v>3547</v>
      </c>
      <c r="G197" t="s">
        <v>4069</v>
      </c>
    </row>
    <row r="198" spans="1:7" ht="11.25" customHeight="1">
      <c r="A198" t="s">
        <v>16</v>
      </c>
      <c r="B198" t="s">
        <v>4028</v>
      </c>
      <c r="C198" t="s">
        <v>4029</v>
      </c>
      <c r="D198" t="s">
        <v>4070</v>
      </c>
      <c r="E198" t="s">
        <v>4071</v>
      </c>
      <c r="F198" t="s">
        <v>3547</v>
      </c>
      <c r="G198" t="s">
        <v>4072</v>
      </c>
    </row>
    <row r="199" spans="1:7" ht="11.25" customHeight="1">
      <c r="A199" t="s">
        <v>16</v>
      </c>
      <c r="B199" t="s">
        <v>4028</v>
      </c>
      <c r="C199" t="s">
        <v>4029</v>
      </c>
      <c r="D199" t="s">
        <v>4073</v>
      </c>
      <c r="E199" t="s">
        <v>4074</v>
      </c>
      <c r="F199" t="s">
        <v>3547</v>
      </c>
      <c r="G199" t="s">
        <v>4075</v>
      </c>
    </row>
    <row r="200" spans="1:7" ht="11.25" customHeight="1">
      <c r="A200" t="s">
        <v>16</v>
      </c>
      <c r="B200" t="s">
        <v>4028</v>
      </c>
      <c r="C200" t="s">
        <v>4029</v>
      </c>
      <c r="D200" t="s">
        <v>4076</v>
      </c>
      <c r="E200" t="s">
        <v>4077</v>
      </c>
      <c r="F200" t="s">
        <v>3547</v>
      </c>
      <c r="G200" t="s">
        <v>4078</v>
      </c>
    </row>
    <row r="201" spans="1:7" ht="11.25" customHeight="1">
      <c r="A201" t="s">
        <v>16</v>
      </c>
      <c r="B201" t="s">
        <v>4028</v>
      </c>
      <c r="C201" t="s">
        <v>4029</v>
      </c>
      <c r="D201" t="s">
        <v>4079</v>
      </c>
      <c r="E201" t="s">
        <v>4080</v>
      </c>
      <c r="F201" t="s">
        <v>3547</v>
      </c>
      <c r="G201" t="s">
        <v>4081</v>
      </c>
    </row>
    <row r="202" spans="1:7" ht="11.25" customHeight="1">
      <c r="A202" t="s">
        <v>16</v>
      </c>
      <c r="B202" t="s">
        <v>4028</v>
      </c>
      <c r="C202" t="s">
        <v>4029</v>
      </c>
      <c r="D202" t="s">
        <v>4082</v>
      </c>
      <c r="E202" t="s">
        <v>4083</v>
      </c>
      <c r="F202" t="s">
        <v>3547</v>
      </c>
      <c r="G202" t="s">
        <v>4084</v>
      </c>
    </row>
    <row r="203" spans="1:7" ht="11.25" customHeight="1">
      <c r="A203" t="s">
        <v>16</v>
      </c>
      <c r="B203" t="s">
        <v>4028</v>
      </c>
      <c r="C203" t="s">
        <v>4029</v>
      </c>
      <c r="D203" t="s">
        <v>4085</v>
      </c>
      <c r="E203" t="s">
        <v>4086</v>
      </c>
      <c r="F203" t="s">
        <v>3547</v>
      </c>
      <c r="G203" t="s">
        <v>4087</v>
      </c>
    </row>
    <row r="204" spans="1:7" ht="11.25" customHeight="1">
      <c r="A204" t="s">
        <v>16</v>
      </c>
      <c r="B204" t="s">
        <v>4028</v>
      </c>
      <c r="C204" t="s">
        <v>4029</v>
      </c>
      <c r="D204" t="s">
        <v>4088</v>
      </c>
      <c r="E204" t="s">
        <v>4089</v>
      </c>
      <c r="F204" t="s">
        <v>3547</v>
      </c>
      <c r="G204" t="s">
        <v>4090</v>
      </c>
    </row>
    <row r="205" spans="1:7" ht="11.25" customHeight="1">
      <c r="A205" t="s">
        <v>16</v>
      </c>
      <c r="B205" t="s">
        <v>4028</v>
      </c>
      <c r="C205" t="s">
        <v>4029</v>
      </c>
      <c r="D205" t="s">
        <v>4091</v>
      </c>
      <c r="E205" t="s">
        <v>4092</v>
      </c>
      <c r="F205" t="s">
        <v>3547</v>
      </c>
      <c r="G205" t="s">
        <v>4093</v>
      </c>
    </row>
    <row r="206" spans="1:7" ht="11.25" customHeight="1">
      <c r="A206" t="s">
        <v>16</v>
      </c>
      <c r="B206" t="s">
        <v>4028</v>
      </c>
      <c r="C206" t="s">
        <v>4029</v>
      </c>
      <c r="D206" t="s">
        <v>4094</v>
      </c>
      <c r="E206" t="s">
        <v>4095</v>
      </c>
      <c r="F206" t="s">
        <v>3649</v>
      </c>
      <c r="G206" t="s">
        <v>4096</v>
      </c>
    </row>
    <row r="207" spans="1:7" ht="11.25" customHeight="1">
      <c r="A207" t="s">
        <v>16</v>
      </c>
      <c r="B207" t="s">
        <v>4097</v>
      </c>
      <c r="C207" t="s">
        <v>4098</v>
      </c>
      <c r="D207" t="s">
        <v>4099</v>
      </c>
      <c r="E207" t="s">
        <v>4100</v>
      </c>
      <c r="F207" t="s">
        <v>3547</v>
      </c>
      <c r="G207" t="s">
        <v>4101</v>
      </c>
    </row>
    <row r="208" spans="1:7" ht="11.25" customHeight="1">
      <c r="A208" t="s">
        <v>16</v>
      </c>
      <c r="B208" t="s">
        <v>4097</v>
      </c>
      <c r="C208" t="s">
        <v>4098</v>
      </c>
      <c r="D208" t="s">
        <v>4097</v>
      </c>
      <c r="E208" t="s">
        <v>4098</v>
      </c>
      <c r="F208" t="s">
        <v>3544</v>
      </c>
      <c r="G208" t="s">
        <v>4102</v>
      </c>
    </row>
    <row r="209" spans="1:7" ht="11.25" customHeight="1">
      <c r="A209" t="s">
        <v>16</v>
      </c>
      <c r="B209" t="s">
        <v>4097</v>
      </c>
      <c r="C209" t="s">
        <v>4098</v>
      </c>
      <c r="D209" t="s">
        <v>4103</v>
      </c>
      <c r="E209" t="s">
        <v>4104</v>
      </c>
      <c r="F209" t="s">
        <v>3649</v>
      </c>
      <c r="G209" t="s">
        <v>4105</v>
      </c>
    </row>
    <row r="210" spans="1:7" ht="11.25" customHeight="1">
      <c r="A210" t="s">
        <v>16</v>
      </c>
      <c r="B210" t="s">
        <v>4097</v>
      </c>
      <c r="C210" t="s">
        <v>4098</v>
      </c>
      <c r="D210" t="s">
        <v>4106</v>
      </c>
      <c r="E210" t="s">
        <v>4107</v>
      </c>
      <c r="F210" t="s">
        <v>3547</v>
      </c>
      <c r="G210" t="s">
        <v>4108</v>
      </c>
    </row>
    <row r="211" spans="1:7" ht="11.25" customHeight="1">
      <c r="A211" t="s">
        <v>16</v>
      </c>
      <c r="B211" t="s">
        <v>4097</v>
      </c>
      <c r="C211" t="s">
        <v>4098</v>
      </c>
      <c r="D211" t="s">
        <v>4109</v>
      </c>
      <c r="E211" t="s">
        <v>4110</v>
      </c>
      <c r="F211" t="s">
        <v>3547</v>
      </c>
      <c r="G211" t="s">
        <v>4111</v>
      </c>
    </row>
    <row r="212" spans="1:7" ht="11.25" customHeight="1">
      <c r="A212" t="s">
        <v>16</v>
      </c>
      <c r="B212" t="s">
        <v>4097</v>
      </c>
      <c r="C212" t="s">
        <v>4098</v>
      </c>
      <c r="D212" t="s">
        <v>4112</v>
      </c>
      <c r="E212" t="s">
        <v>4113</v>
      </c>
      <c r="F212" t="s">
        <v>3547</v>
      </c>
      <c r="G212" t="s">
        <v>4114</v>
      </c>
    </row>
    <row r="213" spans="1:7" ht="11.25" customHeight="1">
      <c r="A213" t="s">
        <v>16</v>
      </c>
      <c r="B213" t="s">
        <v>4097</v>
      </c>
      <c r="C213" t="s">
        <v>4098</v>
      </c>
      <c r="D213" t="s">
        <v>4115</v>
      </c>
      <c r="E213" t="s">
        <v>4116</v>
      </c>
      <c r="F213" t="s">
        <v>3547</v>
      </c>
      <c r="G213" t="s">
        <v>4117</v>
      </c>
    </row>
    <row r="214" spans="1:7" ht="11.25" customHeight="1">
      <c r="A214" t="s">
        <v>16</v>
      </c>
      <c r="B214" t="s">
        <v>4097</v>
      </c>
      <c r="C214" t="s">
        <v>4098</v>
      </c>
      <c r="D214" t="s">
        <v>4118</v>
      </c>
      <c r="E214" t="s">
        <v>4119</v>
      </c>
      <c r="F214" t="s">
        <v>3547</v>
      </c>
      <c r="G214" t="s">
        <v>4120</v>
      </c>
    </row>
    <row r="215" spans="1:7" ht="11.25" customHeight="1">
      <c r="A215" t="s">
        <v>16</v>
      </c>
      <c r="B215" t="s">
        <v>4097</v>
      </c>
      <c r="C215" t="s">
        <v>4098</v>
      </c>
      <c r="D215" t="s">
        <v>4121</v>
      </c>
      <c r="E215" t="s">
        <v>4122</v>
      </c>
      <c r="F215" t="s">
        <v>3547</v>
      </c>
      <c r="G215" t="s">
        <v>4123</v>
      </c>
    </row>
    <row r="216" spans="1:7" ht="11.25" customHeight="1">
      <c r="A216" t="s">
        <v>16</v>
      </c>
      <c r="B216" t="s">
        <v>4097</v>
      </c>
      <c r="C216" t="s">
        <v>4098</v>
      </c>
      <c r="D216" t="s">
        <v>4124</v>
      </c>
      <c r="E216" t="s">
        <v>4125</v>
      </c>
      <c r="F216" t="s">
        <v>3547</v>
      </c>
      <c r="G216" t="s">
        <v>4126</v>
      </c>
    </row>
    <row r="217" spans="1:7" ht="11.25" customHeight="1">
      <c r="A217" t="s">
        <v>16</v>
      </c>
      <c r="B217" t="s">
        <v>4097</v>
      </c>
      <c r="C217" t="s">
        <v>4098</v>
      </c>
      <c r="D217" t="s">
        <v>4127</v>
      </c>
      <c r="E217" t="s">
        <v>4128</v>
      </c>
      <c r="F217" t="s">
        <v>3547</v>
      </c>
      <c r="G217" t="s">
        <v>4129</v>
      </c>
    </row>
    <row r="218" spans="1:7" ht="11.25" customHeight="1">
      <c r="A218" t="s">
        <v>16</v>
      </c>
      <c r="B218" t="s">
        <v>4097</v>
      </c>
      <c r="C218" t="s">
        <v>4098</v>
      </c>
      <c r="D218" t="s">
        <v>4130</v>
      </c>
      <c r="E218" t="s">
        <v>4131</v>
      </c>
      <c r="F218" t="s">
        <v>3547</v>
      </c>
      <c r="G218" t="s">
        <v>4132</v>
      </c>
    </row>
    <row r="219" spans="1:7" ht="11.25" customHeight="1">
      <c r="A219" t="s">
        <v>16</v>
      </c>
      <c r="B219" t="s">
        <v>4097</v>
      </c>
      <c r="C219" t="s">
        <v>4098</v>
      </c>
      <c r="D219" t="s">
        <v>4133</v>
      </c>
      <c r="E219" t="s">
        <v>4134</v>
      </c>
      <c r="F219" t="s">
        <v>3547</v>
      </c>
      <c r="G219" t="s">
        <v>4135</v>
      </c>
    </row>
    <row r="220" spans="1:7" ht="11.25" customHeight="1">
      <c r="A220" t="s">
        <v>16</v>
      </c>
      <c r="B220" t="s">
        <v>4097</v>
      </c>
      <c r="C220" t="s">
        <v>4098</v>
      </c>
      <c r="D220" t="s">
        <v>4136</v>
      </c>
      <c r="E220" t="s">
        <v>4137</v>
      </c>
      <c r="F220" t="s">
        <v>3547</v>
      </c>
      <c r="G220" t="s">
        <v>4138</v>
      </c>
    </row>
    <row r="221" spans="1:7" ht="11.25" customHeight="1">
      <c r="A221" t="s">
        <v>16</v>
      </c>
      <c r="B221" t="s">
        <v>4097</v>
      </c>
      <c r="C221" t="s">
        <v>4098</v>
      </c>
      <c r="D221" t="s">
        <v>4139</v>
      </c>
      <c r="E221" t="s">
        <v>4140</v>
      </c>
      <c r="F221" t="s">
        <v>3547</v>
      </c>
      <c r="G221" t="s">
        <v>4141</v>
      </c>
    </row>
    <row r="222" spans="1:7" ht="11.25" customHeight="1">
      <c r="A222" t="s">
        <v>16</v>
      </c>
      <c r="B222" t="s">
        <v>4097</v>
      </c>
      <c r="C222" t="s">
        <v>4098</v>
      </c>
      <c r="D222" t="s">
        <v>4142</v>
      </c>
      <c r="E222" t="s">
        <v>4143</v>
      </c>
      <c r="F222" t="s">
        <v>3547</v>
      </c>
      <c r="G222" t="s">
        <v>4144</v>
      </c>
    </row>
    <row r="223" spans="1:7" ht="11.25" customHeight="1">
      <c r="A223" t="s">
        <v>16</v>
      </c>
      <c r="B223" t="s">
        <v>4097</v>
      </c>
      <c r="C223" t="s">
        <v>4098</v>
      </c>
      <c r="D223" t="s">
        <v>4145</v>
      </c>
      <c r="E223" t="s">
        <v>4146</v>
      </c>
      <c r="F223" t="s">
        <v>3547</v>
      </c>
      <c r="G223" t="s">
        <v>4147</v>
      </c>
    </row>
    <row r="224" spans="1:7" ht="11.25" customHeight="1">
      <c r="A224" t="s">
        <v>16</v>
      </c>
      <c r="B224" t="s">
        <v>4097</v>
      </c>
      <c r="C224" t="s">
        <v>4098</v>
      </c>
      <c r="D224" t="s">
        <v>4148</v>
      </c>
      <c r="E224" t="s">
        <v>4149</v>
      </c>
      <c r="F224" t="s">
        <v>3547</v>
      </c>
      <c r="G224" t="s">
        <v>4150</v>
      </c>
    </row>
    <row r="225" spans="1:7" ht="11.25" customHeight="1">
      <c r="A225" t="s">
        <v>16</v>
      </c>
      <c r="B225" t="s">
        <v>4151</v>
      </c>
      <c r="C225" t="s">
        <v>4152</v>
      </c>
      <c r="D225" t="s">
        <v>4151</v>
      </c>
      <c r="E225" t="s">
        <v>4152</v>
      </c>
      <c r="F225" t="s">
        <v>3544</v>
      </c>
      <c r="G225" t="s">
        <v>4153</v>
      </c>
    </row>
    <row r="226" spans="1:7" ht="11.25" customHeight="1">
      <c r="A226" t="s">
        <v>16</v>
      </c>
      <c r="B226" t="s">
        <v>4151</v>
      </c>
      <c r="C226" t="s">
        <v>4152</v>
      </c>
      <c r="D226" t="s">
        <v>4154</v>
      </c>
      <c r="E226" t="s">
        <v>4155</v>
      </c>
      <c r="F226" t="s">
        <v>3547</v>
      </c>
      <c r="G226" t="s">
        <v>4156</v>
      </c>
    </row>
    <row r="227" spans="1:7" ht="11.25" customHeight="1">
      <c r="A227" t="s">
        <v>16</v>
      </c>
      <c r="B227" t="s">
        <v>4151</v>
      </c>
      <c r="C227" t="s">
        <v>4152</v>
      </c>
      <c r="D227" t="s">
        <v>4157</v>
      </c>
      <c r="E227" t="s">
        <v>4158</v>
      </c>
      <c r="F227" t="s">
        <v>3547</v>
      </c>
      <c r="G227" t="s">
        <v>4159</v>
      </c>
    </row>
    <row r="228" spans="1:7" ht="11.25" customHeight="1">
      <c r="A228" t="s">
        <v>16</v>
      </c>
      <c r="B228" t="s">
        <v>4151</v>
      </c>
      <c r="C228" t="s">
        <v>4152</v>
      </c>
      <c r="D228" t="s">
        <v>4160</v>
      </c>
      <c r="E228" t="s">
        <v>4161</v>
      </c>
      <c r="F228" t="s">
        <v>3547</v>
      </c>
      <c r="G228" t="s">
        <v>4162</v>
      </c>
    </row>
    <row r="229" spans="1:7" ht="11.25" customHeight="1">
      <c r="A229" t="s">
        <v>16</v>
      </c>
      <c r="B229" t="s">
        <v>4151</v>
      </c>
      <c r="C229" t="s">
        <v>4152</v>
      </c>
      <c r="D229" t="s">
        <v>4163</v>
      </c>
      <c r="E229" t="s">
        <v>4164</v>
      </c>
      <c r="F229" t="s">
        <v>3547</v>
      </c>
      <c r="G229" t="s">
        <v>4165</v>
      </c>
    </row>
    <row r="230" spans="1:7" ht="11.25" customHeight="1">
      <c r="A230" t="s">
        <v>16</v>
      </c>
      <c r="B230" t="s">
        <v>4151</v>
      </c>
      <c r="C230" t="s">
        <v>4152</v>
      </c>
      <c r="D230" t="s">
        <v>4166</v>
      </c>
      <c r="E230" t="s">
        <v>4167</v>
      </c>
      <c r="F230" t="s">
        <v>3547</v>
      </c>
      <c r="G230" t="s">
        <v>4168</v>
      </c>
    </row>
    <row r="231" spans="1:7" ht="11.25" customHeight="1">
      <c r="A231" t="s">
        <v>16</v>
      </c>
      <c r="B231" t="s">
        <v>4151</v>
      </c>
      <c r="C231" t="s">
        <v>4152</v>
      </c>
      <c r="D231" t="s">
        <v>4169</v>
      </c>
      <c r="E231" t="s">
        <v>4170</v>
      </c>
      <c r="F231" t="s">
        <v>3547</v>
      </c>
      <c r="G231" t="s">
        <v>4171</v>
      </c>
    </row>
    <row r="232" spans="1:7" ht="11.25" customHeight="1">
      <c r="A232" t="s">
        <v>16</v>
      </c>
      <c r="B232" t="s">
        <v>4151</v>
      </c>
      <c r="C232" t="s">
        <v>4152</v>
      </c>
      <c r="D232" t="s">
        <v>4172</v>
      </c>
      <c r="E232" t="s">
        <v>4173</v>
      </c>
      <c r="F232" t="s">
        <v>3547</v>
      </c>
      <c r="G232" t="s">
        <v>4174</v>
      </c>
    </row>
    <row r="233" spans="1:7" ht="11.25" customHeight="1">
      <c r="A233" t="s">
        <v>16</v>
      </c>
      <c r="B233" t="s">
        <v>4151</v>
      </c>
      <c r="C233" t="s">
        <v>4152</v>
      </c>
      <c r="D233" t="s">
        <v>4175</v>
      </c>
      <c r="E233" t="s">
        <v>4176</v>
      </c>
      <c r="F233" t="s">
        <v>3547</v>
      </c>
      <c r="G233" t="s">
        <v>4177</v>
      </c>
    </row>
    <row r="234" spans="1:7" ht="11.25" customHeight="1">
      <c r="A234" t="s">
        <v>16</v>
      </c>
      <c r="B234" t="s">
        <v>4151</v>
      </c>
      <c r="C234" t="s">
        <v>4152</v>
      </c>
      <c r="D234" t="s">
        <v>4178</v>
      </c>
      <c r="E234" t="s">
        <v>4179</v>
      </c>
      <c r="F234" t="s">
        <v>3547</v>
      </c>
      <c r="G234" t="s">
        <v>4180</v>
      </c>
    </row>
    <row r="235" spans="1:7" ht="11.25" customHeight="1">
      <c r="A235" t="s">
        <v>16</v>
      </c>
      <c r="B235" t="s">
        <v>4151</v>
      </c>
      <c r="C235" t="s">
        <v>4152</v>
      </c>
      <c r="D235" t="s">
        <v>4181</v>
      </c>
      <c r="E235" t="s">
        <v>4182</v>
      </c>
      <c r="F235" t="s">
        <v>3547</v>
      </c>
      <c r="G235" t="s">
        <v>4183</v>
      </c>
    </row>
    <row r="236" spans="1:7" ht="11.25" customHeight="1">
      <c r="A236" t="s">
        <v>16</v>
      </c>
      <c r="B236" t="s">
        <v>4151</v>
      </c>
      <c r="C236" t="s">
        <v>4152</v>
      </c>
      <c r="D236" t="s">
        <v>4184</v>
      </c>
      <c r="E236" t="s">
        <v>4185</v>
      </c>
      <c r="F236" t="s">
        <v>3547</v>
      </c>
      <c r="G236" t="s">
        <v>4186</v>
      </c>
    </row>
    <row r="237" spans="1:7" ht="11.25" customHeight="1">
      <c r="A237" t="s">
        <v>16</v>
      </c>
      <c r="B237" t="s">
        <v>4151</v>
      </c>
      <c r="C237" t="s">
        <v>4152</v>
      </c>
      <c r="D237" t="s">
        <v>4187</v>
      </c>
      <c r="E237" t="s">
        <v>4188</v>
      </c>
      <c r="F237" t="s">
        <v>3547</v>
      </c>
      <c r="G237" t="s">
        <v>4189</v>
      </c>
    </row>
    <row r="238" spans="1:7" ht="11.25" customHeight="1">
      <c r="A238" t="s">
        <v>16</v>
      </c>
      <c r="B238" t="s">
        <v>4190</v>
      </c>
      <c r="C238" t="s">
        <v>4191</v>
      </c>
      <c r="D238" t="s">
        <v>4192</v>
      </c>
      <c r="E238" t="s">
        <v>4193</v>
      </c>
      <c r="F238" t="s">
        <v>3547</v>
      </c>
      <c r="G238" t="s">
        <v>4194</v>
      </c>
    </row>
    <row r="239" spans="1:7" ht="11.25" customHeight="1">
      <c r="A239" t="s">
        <v>16</v>
      </c>
      <c r="B239" t="s">
        <v>4190</v>
      </c>
      <c r="C239" t="s">
        <v>4191</v>
      </c>
      <c r="D239" t="s">
        <v>4190</v>
      </c>
      <c r="E239" t="s">
        <v>4191</v>
      </c>
      <c r="F239" t="s">
        <v>3544</v>
      </c>
      <c r="G239" t="s">
        <v>4195</v>
      </c>
    </row>
    <row r="240" spans="1:7" ht="11.25" customHeight="1">
      <c r="A240" t="s">
        <v>16</v>
      </c>
      <c r="B240" t="s">
        <v>4190</v>
      </c>
      <c r="C240" t="s">
        <v>4191</v>
      </c>
      <c r="D240" t="s">
        <v>4196</v>
      </c>
      <c r="E240" t="s">
        <v>4197</v>
      </c>
      <c r="F240" t="s">
        <v>3552</v>
      </c>
      <c r="G240" t="s">
        <v>4198</v>
      </c>
    </row>
    <row r="241" spans="1:7" ht="11.25" customHeight="1">
      <c r="A241" t="s">
        <v>16</v>
      </c>
      <c r="B241" t="s">
        <v>4190</v>
      </c>
      <c r="C241" t="s">
        <v>4191</v>
      </c>
      <c r="D241" t="s">
        <v>4199</v>
      </c>
      <c r="E241" t="s">
        <v>4200</v>
      </c>
      <c r="F241" t="s">
        <v>3547</v>
      </c>
      <c r="G241" t="s">
        <v>4201</v>
      </c>
    </row>
    <row r="242" spans="1:7" ht="11.25" customHeight="1">
      <c r="A242" t="s">
        <v>16</v>
      </c>
      <c r="B242" t="s">
        <v>4190</v>
      </c>
      <c r="C242" t="s">
        <v>4191</v>
      </c>
      <c r="D242" t="s">
        <v>4202</v>
      </c>
      <c r="E242" t="s">
        <v>4203</v>
      </c>
      <c r="F242" t="s">
        <v>3547</v>
      </c>
      <c r="G242" t="s">
        <v>4204</v>
      </c>
    </row>
    <row r="243" spans="1:7" ht="11.25" customHeight="1">
      <c r="A243" t="s">
        <v>16</v>
      </c>
      <c r="B243" t="s">
        <v>4190</v>
      </c>
      <c r="C243" t="s">
        <v>4191</v>
      </c>
      <c r="D243" t="s">
        <v>4205</v>
      </c>
      <c r="E243" t="s">
        <v>4206</v>
      </c>
      <c r="F243" t="s">
        <v>3547</v>
      </c>
      <c r="G243" t="s">
        <v>4207</v>
      </c>
    </row>
    <row r="244" spans="1:7" ht="11.25" customHeight="1">
      <c r="A244" t="s">
        <v>16</v>
      </c>
      <c r="B244" t="s">
        <v>4190</v>
      </c>
      <c r="C244" t="s">
        <v>4191</v>
      </c>
      <c r="D244" t="s">
        <v>4208</v>
      </c>
      <c r="E244" t="s">
        <v>4209</v>
      </c>
      <c r="F244" t="s">
        <v>3547</v>
      </c>
      <c r="G244" t="s">
        <v>4210</v>
      </c>
    </row>
    <row r="245" spans="1:7" ht="11.25" customHeight="1">
      <c r="A245" t="s">
        <v>16</v>
      </c>
      <c r="B245" t="s">
        <v>4190</v>
      </c>
      <c r="C245" t="s">
        <v>4191</v>
      </c>
      <c r="D245" t="s">
        <v>4211</v>
      </c>
      <c r="E245" t="s">
        <v>4212</v>
      </c>
      <c r="F245" t="s">
        <v>3547</v>
      </c>
      <c r="G245" t="s">
        <v>4213</v>
      </c>
    </row>
    <row r="246" spans="1:7" ht="11.25" customHeight="1">
      <c r="A246" t="s">
        <v>16</v>
      </c>
      <c r="B246" t="s">
        <v>4190</v>
      </c>
      <c r="C246" t="s">
        <v>4191</v>
      </c>
      <c r="D246" t="s">
        <v>4214</v>
      </c>
      <c r="E246" t="s">
        <v>4215</v>
      </c>
      <c r="F246" t="s">
        <v>3547</v>
      </c>
      <c r="G246" t="s">
        <v>4216</v>
      </c>
    </row>
    <row r="247" spans="1:7" ht="11.25" customHeight="1">
      <c r="A247" t="s">
        <v>16</v>
      </c>
      <c r="B247" t="s">
        <v>4190</v>
      </c>
      <c r="C247" t="s">
        <v>4191</v>
      </c>
      <c r="D247" t="s">
        <v>4217</v>
      </c>
      <c r="E247" t="s">
        <v>4218</v>
      </c>
      <c r="F247" t="s">
        <v>3547</v>
      </c>
      <c r="G247" t="s">
        <v>4219</v>
      </c>
    </row>
    <row r="248" spans="1:7" ht="11.25" customHeight="1">
      <c r="A248" t="s">
        <v>16</v>
      </c>
      <c r="B248" t="s">
        <v>4190</v>
      </c>
      <c r="C248" t="s">
        <v>4191</v>
      </c>
      <c r="D248" t="s">
        <v>4220</v>
      </c>
      <c r="E248" t="s">
        <v>4221</v>
      </c>
      <c r="F248" t="s">
        <v>3547</v>
      </c>
      <c r="G248" t="s">
        <v>4222</v>
      </c>
    </row>
    <row r="249" spans="1:7" ht="11.25" customHeight="1">
      <c r="A249" t="s">
        <v>16</v>
      </c>
      <c r="B249" t="s">
        <v>4190</v>
      </c>
      <c r="C249" t="s">
        <v>4191</v>
      </c>
      <c r="D249" t="s">
        <v>4223</v>
      </c>
      <c r="E249" t="s">
        <v>4224</v>
      </c>
      <c r="F249" t="s">
        <v>3547</v>
      </c>
      <c r="G249" t="s">
        <v>4225</v>
      </c>
    </row>
    <row r="250" spans="1:7" ht="11.25" customHeight="1">
      <c r="A250" t="s">
        <v>16</v>
      </c>
      <c r="B250" t="s">
        <v>4190</v>
      </c>
      <c r="C250" t="s">
        <v>4191</v>
      </c>
      <c r="D250" t="s">
        <v>4226</v>
      </c>
      <c r="E250" t="s">
        <v>4227</v>
      </c>
      <c r="F250" t="s">
        <v>3547</v>
      </c>
      <c r="G250" t="s">
        <v>4228</v>
      </c>
    </row>
    <row r="251" spans="1:7" ht="11.25" customHeight="1">
      <c r="A251" t="s">
        <v>16</v>
      </c>
      <c r="B251" t="s">
        <v>4190</v>
      </c>
      <c r="C251" t="s">
        <v>4191</v>
      </c>
      <c r="D251" t="s">
        <v>4229</v>
      </c>
      <c r="E251" t="s">
        <v>4230</v>
      </c>
      <c r="F251" t="s">
        <v>3547</v>
      </c>
      <c r="G251" t="s">
        <v>4231</v>
      </c>
    </row>
    <row r="252" spans="1:7" ht="11.25" customHeight="1">
      <c r="A252" t="s">
        <v>16</v>
      </c>
      <c r="B252" t="s">
        <v>4190</v>
      </c>
      <c r="C252" t="s">
        <v>4191</v>
      </c>
      <c r="D252" t="s">
        <v>4232</v>
      </c>
      <c r="E252" t="s">
        <v>4233</v>
      </c>
      <c r="F252" t="s">
        <v>3547</v>
      </c>
      <c r="G252" t="s">
        <v>4234</v>
      </c>
    </row>
    <row r="253" spans="1:7" ht="11.25" customHeight="1">
      <c r="A253" t="s">
        <v>16</v>
      </c>
      <c r="B253" t="s">
        <v>4235</v>
      </c>
      <c r="C253" t="s">
        <v>4236</v>
      </c>
      <c r="D253" t="s">
        <v>4235</v>
      </c>
      <c r="E253" t="s">
        <v>4236</v>
      </c>
      <c r="F253" t="s">
        <v>3544</v>
      </c>
      <c r="G253" t="s">
        <v>4237</v>
      </c>
    </row>
    <row r="254" spans="1:7" ht="11.25" customHeight="1">
      <c r="A254" t="s">
        <v>16</v>
      </c>
      <c r="B254" t="s">
        <v>4235</v>
      </c>
      <c r="C254" t="s">
        <v>4236</v>
      </c>
      <c r="D254" t="s">
        <v>4238</v>
      </c>
      <c r="E254" t="s">
        <v>4239</v>
      </c>
      <c r="F254" t="s">
        <v>3547</v>
      </c>
      <c r="G254" t="s">
        <v>4240</v>
      </c>
    </row>
    <row r="255" spans="1:7" ht="11.25" customHeight="1">
      <c r="A255" t="s">
        <v>16</v>
      </c>
      <c r="B255" t="s">
        <v>4235</v>
      </c>
      <c r="C255" t="s">
        <v>4236</v>
      </c>
      <c r="D255" t="s">
        <v>4241</v>
      </c>
      <c r="E255" t="s">
        <v>4242</v>
      </c>
      <c r="F255" t="s">
        <v>3547</v>
      </c>
      <c r="G255" t="s">
        <v>4243</v>
      </c>
    </row>
    <row r="256" spans="1:7" ht="11.25" customHeight="1">
      <c r="A256" t="s">
        <v>16</v>
      </c>
      <c r="B256" t="s">
        <v>4235</v>
      </c>
      <c r="C256" t="s">
        <v>4236</v>
      </c>
      <c r="D256" t="s">
        <v>4244</v>
      </c>
      <c r="E256" t="s">
        <v>4245</v>
      </c>
      <c r="F256" t="s">
        <v>3547</v>
      </c>
      <c r="G256" t="s">
        <v>4246</v>
      </c>
    </row>
    <row r="257" spans="1:7" ht="11.25" customHeight="1">
      <c r="A257" t="s">
        <v>16</v>
      </c>
      <c r="B257" t="s">
        <v>4235</v>
      </c>
      <c r="C257" t="s">
        <v>4236</v>
      </c>
      <c r="D257" t="s">
        <v>4247</v>
      </c>
      <c r="E257" t="s">
        <v>4248</v>
      </c>
      <c r="F257" t="s">
        <v>3547</v>
      </c>
      <c r="G257" t="s">
        <v>4249</v>
      </c>
    </row>
    <row r="258" spans="1:7" ht="11.25" customHeight="1">
      <c r="A258" t="s">
        <v>16</v>
      </c>
      <c r="B258" t="s">
        <v>4235</v>
      </c>
      <c r="C258" t="s">
        <v>4236</v>
      </c>
      <c r="D258" t="s">
        <v>4250</v>
      </c>
      <c r="E258" t="s">
        <v>4251</v>
      </c>
      <c r="F258" t="s">
        <v>3547</v>
      </c>
      <c r="G258" t="s">
        <v>4252</v>
      </c>
    </row>
    <row r="259" spans="1:7" ht="11.25" customHeight="1">
      <c r="A259" t="s">
        <v>16</v>
      </c>
      <c r="B259" t="s">
        <v>4235</v>
      </c>
      <c r="C259" t="s">
        <v>4236</v>
      </c>
      <c r="D259" t="s">
        <v>4253</v>
      </c>
      <c r="E259" t="s">
        <v>4254</v>
      </c>
      <c r="F259" t="s">
        <v>3547</v>
      </c>
      <c r="G259" t="s">
        <v>4255</v>
      </c>
    </row>
    <row r="260" spans="1:7" ht="11.25" customHeight="1">
      <c r="A260" t="s">
        <v>16</v>
      </c>
      <c r="B260" t="s">
        <v>4235</v>
      </c>
      <c r="C260" t="s">
        <v>4236</v>
      </c>
      <c r="D260" t="s">
        <v>4256</v>
      </c>
      <c r="E260" t="s">
        <v>4257</v>
      </c>
      <c r="F260" t="s">
        <v>3547</v>
      </c>
      <c r="G260" t="s">
        <v>4258</v>
      </c>
    </row>
    <row r="261" spans="1:7" ht="11.25" customHeight="1">
      <c r="A261" t="s">
        <v>16</v>
      </c>
      <c r="B261" t="s">
        <v>4235</v>
      </c>
      <c r="C261" t="s">
        <v>4236</v>
      </c>
      <c r="D261" t="s">
        <v>4259</v>
      </c>
      <c r="E261" t="s">
        <v>4260</v>
      </c>
      <c r="F261" t="s">
        <v>3547</v>
      </c>
      <c r="G261" t="s">
        <v>4261</v>
      </c>
    </row>
    <row r="262" spans="1:7" ht="11.25" customHeight="1">
      <c r="A262" t="s">
        <v>16</v>
      </c>
      <c r="B262" t="s">
        <v>4235</v>
      </c>
      <c r="C262" t="s">
        <v>4236</v>
      </c>
      <c r="D262" t="s">
        <v>4262</v>
      </c>
      <c r="E262" t="s">
        <v>4263</v>
      </c>
      <c r="F262" t="s">
        <v>3547</v>
      </c>
      <c r="G262" t="s">
        <v>4264</v>
      </c>
    </row>
    <row r="263" spans="1:7" ht="11.25" customHeight="1">
      <c r="A263" t="s">
        <v>16</v>
      </c>
      <c r="B263" t="s">
        <v>4235</v>
      </c>
      <c r="C263" t="s">
        <v>4236</v>
      </c>
      <c r="D263" t="s">
        <v>4265</v>
      </c>
      <c r="E263" t="s">
        <v>4266</v>
      </c>
      <c r="F263" t="s">
        <v>3547</v>
      </c>
      <c r="G263" t="s">
        <v>4267</v>
      </c>
    </row>
    <row r="264" spans="1:7" ht="11.25" customHeight="1">
      <c r="A264" t="s">
        <v>16</v>
      </c>
      <c r="B264" t="s">
        <v>4235</v>
      </c>
      <c r="C264" t="s">
        <v>4236</v>
      </c>
      <c r="D264" t="s">
        <v>4268</v>
      </c>
      <c r="E264" t="s">
        <v>4269</v>
      </c>
      <c r="F264" t="s">
        <v>3547</v>
      </c>
      <c r="G264" t="s">
        <v>4270</v>
      </c>
    </row>
    <row r="265" spans="1:7" ht="11.25" customHeight="1">
      <c r="A265" t="s">
        <v>16</v>
      </c>
      <c r="B265" t="s">
        <v>4235</v>
      </c>
      <c r="C265" t="s">
        <v>4236</v>
      </c>
      <c r="D265" t="s">
        <v>4271</v>
      </c>
      <c r="E265" t="s">
        <v>4272</v>
      </c>
      <c r="F265" t="s">
        <v>3547</v>
      </c>
      <c r="G265" t="s">
        <v>4273</v>
      </c>
    </row>
    <row r="266" spans="1:7" ht="11.25" customHeight="1">
      <c r="A266" t="s">
        <v>16</v>
      </c>
      <c r="B266" t="s">
        <v>4235</v>
      </c>
      <c r="C266" t="s">
        <v>4236</v>
      </c>
      <c r="D266" t="s">
        <v>4274</v>
      </c>
      <c r="E266" t="s">
        <v>4275</v>
      </c>
      <c r="F266" t="s">
        <v>3547</v>
      </c>
      <c r="G266" t="s">
        <v>4276</v>
      </c>
    </row>
    <row r="267" spans="1:7" ht="11.25" customHeight="1">
      <c r="A267" t="s">
        <v>16</v>
      </c>
      <c r="B267" t="s">
        <v>4235</v>
      </c>
      <c r="C267" t="s">
        <v>4236</v>
      </c>
      <c r="D267" t="s">
        <v>4277</v>
      </c>
      <c r="E267" t="s">
        <v>4278</v>
      </c>
      <c r="F267" t="s">
        <v>3547</v>
      </c>
      <c r="G267" t="s">
        <v>4279</v>
      </c>
    </row>
    <row r="268" spans="1:7" ht="11.25" customHeight="1">
      <c r="A268" t="s">
        <v>16</v>
      </c>
      <c r="B268" t="s">
        <v>4235</v>
      </c>
      <c r="C268" t="s">
        <v>4236</v>
      </c>
      <c r="D268" t="s">
        <v>4280</v>
      </c>
      <c r="E268" t="s">
        <v>4281</v>
      </c>
      <c r="F268" t="s">
        <v>3547</v>
      </c>
      <c r="G268" t="s">
        <v>4282</v>
      </c>
    </row>
    <row r="269" spans="1:7" ht="11.25" customHeight="1">
      <c r="A269" t="s">
        <v>16</v>
      </c>
      <c r="B269" t="s">
        <v>4235</v>
      </c>
      <c r="C269" t="s">
        <v>4236</v>
      </c>
      <c r="D269" t="s">
        <v>4283</v>
      </c>
      <c r="E269" t="s">
        <v>4284</v>
      </c>
      <c r="F269" t="s">
        <v>3547</v>
      </c>
      <c r="G269" t="s">
        <v>4285</v>
      </c>
    </row>
    <row r="270" spans="1:7" ht="11.25" customHeight="1">
      <c r="A270" t="s">
        <v>16</v>
      </c>
      <c r="B270" t="s">
        <v>4235</v>
      </c>
      <c r="C270" t="s">
        <v>4236</v>
      </c>
      <c r="D270" t="s">
        <v>4286</v>
      </c>
      <c r="E270" t="s">
        <v>4287</v>
      </c>
      <c r="F270" t="s">
        <v>3547</v>
      </c>
      <c r="G270" t="s">
        <v>4288</v>
      </c>
    </row>
    <row r="271" spans="1:7" ht="11.25" customHeight="1">
      <c r="A271" t="s">
        <v>16</v>
      </c>
      <c r="B271" t="s">
        <v>4235</v>
      </c>
      <c r="C271" t="s">
        <v>4236</v>
      </c>
      <c r="D271" t="s">
        <v>4289</v>
      </c>
      <c r="E271" t="s">
        <v>4290</v>
      </c>
      <c r="F271" t="s">
        <v>3649</v>
      </c>
      <c r="G271" t="s">
        <v>4291</v>
      </c>
    </row>
    <row r="272" spans="1:7" ht="11.25" customHeight="1">
      <c r="A272" t="s">
        <v>16</v>
      </c>
      <c r="B272" t="s">
        <v>4292</v>
      </c>
      <c r="C272" t="s">
        <v>4293</v>
      </c>
      <c r="D272" t="s">
        <v>4294</v>
      </c>
      <c r="E272" t="s">
        <v>4295</v>
      </c>
      <c r="F272" t="s">
        <v>3547</v>
      </c>
      <c r="G272" t="s">
        <v>4296</v>
      </c>
    </row>
    <row r="273" spans="1:7" ht="11.25" customHeight="1">
      <c r="A273" t="s">
        <v>16</v>
      </c>
      <c r="B273" t="s">
        <v>4292</v>
      </c>
      <c r="C273" t="s">
        <v>4293</v>
      </c>
      <c r="D273" t="s">
        <v>4297</v>
      </c>
      <c r="E273" t="s">
        <v>4298</v>
      </c>
      <c r="F273" t="s">
        <v>3547</v>
      </c>
      <c r="G273" t="s">
        <v>4299</v>
      </c>
    </row>
    <row r="274" spans="1:7" ht="11.25" customHeight="1">
      <c r="A274" t="s">
        <v>16</v>
      </c>
      <c r="B274" t="s">
        <v>4292</v>
      </c>
      <c r="C274" t="s">
        <v>4293</v>
      </c>
      <c r="D274" t="s">
        <v>4300</v>
      </c>
      <c r="E274" t="s">
        <v>4301</v>
      </c>
      <c r="F274" t="s">
        <v>3547</v>
      </c>
      <c r="G274" t="s">
        <v>4302</v>
      </c>
    </row>
    <row r="275" spans="1:7" ht="11.25" customHeight="1">
      <c r="A275" t="s">
        <v>16</v>
      </c>
      <c r="B275" t="s">
        <v>4292</v>
      </c>
      <c r="C275" t="s">
        <v>4293</v>
      </c>
      <c r="D275" t="s">
        <v>4292</v>
      </c>
      <c r="E275" t="s">
        <v>4293</v>
      </c>
      <c r="F275" t="s">
        <v>3544</v>
      </c>
      <c r="G275" t="s">
        <v>4303</v>
      </c>
    </row>
    <row r="276" spans="1:7" ht="11.25" customHeight="1">
      <c r="A276" t="s">
        <v>16</v>
      </c>
      <c r="B276" t="s">
        <v>4292</v>
      </c>
      <c r="C276" t="s">
        <v>4293</v>
      </c>
      <c r="D276" t="s">
        <v>4304</v>
      </c>
      <c r="E276" t="s">
        <v>4305</v>
      </c>
      <c r="F276" t="s">
        <v>3547</v>
      </c>
      <c r="G276" t="s">
        <v>4306</v>
      </c>
    </row>
    <row r="277" spans="1:7" ht="11.25" customHeight="1">
      <c r="A277" t="s">
        <v>16</v>
      </c>
      <c r="B277" t="s">
        <v>4292</v>
      </c>
      <c r="C277" t="s">
        <v>4293</v>
      </c>
      <c r="D277" t="s">
        <v>4307</v>
      </c>
      <c r="E277" t="s">
        <v>4308</v>
      </c>
      <c r="F277" t="s">
        <v>3547</v>
      </c>
      <c r="G277" t="s">
        <v>4309</v>
      </c>
    </row>
    <row r="278" spans="1:7" ht="11.25" customHeight="1">
      <c r="A278" t="s">
        <v>16</v>
      </c>
      <c r="B278" t="s">
        <v>4292</v>
      </c>
      <c r="C278" t="s">
        <v>4293</v>
      </c>
      <c r="D278" t="s">
        <v>4310</v>
      </c>
      <c r="E278" t="s">
        <v>4311</v>
      </c>
      <c r="F278" t="s">
        <v>3552</v>
      </c>
      <c r="G278" t="s">
        <v>4312</v>
      </c>
    </row>
    <row r="279" spans="1:7" ht="11.25" customHeight="1">
      <c r="A279" t="s">
        <v>16</v>
      </c>
      <c r="B279" t="s">
        <v>4292</v>
      </c>
      <c r="C279" t="s">
        <v>4293</v>
      </c>
      <c r="D279" t="s">
        <v>4313</v>
      </c>
      <c r="E279" t="s">
        <v>4314</v>
      </c>
      <c r="F279" t="s">
        <v>3547</v>
      </c>
      <c r="G279" t="s">
        <v>4315</v>
      </c>
    </row>
    <row r="280" spans="1:7" ht="11.25" customHeight="1">
      <c r="A280" t="s">
        <v>16</v>
      </c>
      <c r="B280" t="s">
        <v>4292</v>
      </c>
      <c r="C280" t="s">
        <v>4293</v>
      </c>
      <c r="D280" t="s">
        <v>4316</v>
      </c>
      <c r="E280" t="s">
        <v>4317</v>
      </c>
      <c r="F280" t="s">
        <v>3547</v>
      </c>
      <c r="G280" t="s">
        <v>4318</v>
      </c>
    </row>
    <row r="281" spans="1:7" ht="11.25" customHeight="1">
      <c r="A281" t="s">
        <v>16</v>
      </c>
      <c r="B281" t="s">
        <v>4292</v>
      </c>
      <c r="C281" t="s">
        <v>4293</v>
      </c>
      <c r="D281" t="s">
        <v>3569</v>
      </c>
      <c r="E281" t="s">
        <v>4319</v>
      </c>
      <c r="F281" t="s">
        <v>3547</v>
      </c>
      <c r="G281" t="s">
        <v>4320</v>
      </c>
    </row>
    <row r="282" spans="1:7" ht="11.25" customHeight="1">
      <c r="A282" t="s">
        <v>16</v>
      </c>
      <c r="B282" t="s">
        <v>4292</v>
      </c>
      <c r="C282" t="s">
        <v>4293</v>
      </c>
      <c r="D282" t="s">
        <v>4321</v>
      </c>
      <c r="E282" t="s">
        <v>4322</v>
      </c>
      <c r="F282" t="s">
        <v>3547</v>
      </c>
      <c r="G282" t="s">
        <v>4323</v>
      </c>
    </row>
    <row r="283" spans="1:7" ht="11.25" customHeight="1">
      <c r="A283" t="s">
        <v>16</v>
      </c>
      <c r="B283" t="s">
        <v>4292</v>
      </c>
      <c r="C283" t="s">
        <v>4293</v>
      </c>
      <c r="D283" t="s">
        <v>4324</v>
      </c>
      <c r="E283" t="s">
        <v>4325</v>
      </c>
      <c r="F283" t="s">
        <v>3547</v>
      </c>
      <c r="G283" t="s">
        <v>4326</v>
      </c>
    </row>
    <row r="284" spans="1:7" ht="11.25" customHeight="1">
      <c r="A284" t="s">
        <v>16</v>
      </c>
      <c r="B284" t="s">
        <v>4292</v>
      </c>
      <c r="C284" t="s">
        <v>4293</v>
      </c>
      <c r="D284" t="s">
        <v>4327</v>
      </c>
      <c r="E284" t="s">
        <v>4328</v>
      </c>
      <c r="F284" t="s">
        <v>3547</v>
      </c>
      <c r="G284" t="s">
        <v>4329</v>
      </c>
    </row>
    <row r="285" spans="1:7" ht="11.25" customHeight="1">
      <c r="A285" t="s">
        <v>16</v>
      </c>
      <c r="B285" t="s">
        <v>4292</v>
      </c>
      <c r="C285" t="s">
        <v>4293</v>
      </c>
      <c r="D285" t="s">
        <v>4330</v>
      </c>
      <c r="E285" t="s">
        <v>4331</v>
      </c>
      <c r="F285" t="s">
        <v>3547</v>
      </c>
      <c r="G285" t="s">
        <v>4332</v>
      </c>
    </row>
    <row r="286" spans="1:7" ht="11.25" customHeight="1">
      <c r="A286" t="s">
        <v>16</v>
      </c>
      <c r="B286" t="s">
        <v>4292</v>
      </c>
      <c r="C286" t="s">
        <v>4293</v>
      </c>
      <c r="D286" t="s">
        <v>4333</v>
      </c>
      <c r="E286" t="s">
        <v>4334</v>
      </c>
      <c r="F286" t="s">
        <v>3547</v>
      </c>
      <c r="G286" t="s">
        <v>4335</v>
      </c>
    </row>
    <row r="287" spans="1:7" ht="11.25" customHeight="1">
      <c r="A287" t="s">
        <v>16</v>
      </c>
      <c r="B287" t="s">
        <v>4292</v>
      </c>
      <c r="C287" t="s">
        <v>4293</v>
      </c>
      <c r="D287" t="s">
        <v>4336</v>
      </c>
      <c r="E287" t="s">
        <v>4337</v>
      </c>
      <c r="F287" t="s">
        <v>3547</v>
      </c>
      <c r="G287" t="s">
        <v>4338</v>
      </c>
    </row>
    <row r="288" spans="1:7" ht="11.25" customHeight="1">
      <c r="A288" t="s">
        <v>16</v>
      </c>
      <c r="B288" t="s">
        <v>4292</v>
      </c>
      <c r="C288" t="s">
        <v>4293</v>
      </c>
      <c r="D288" t="s">
        <v>4339</v>
      </c>
      <c r="E288" t="s">
        <v>4340</v>
      </c>
      <c r="F288" t="s">
        <v>3547</v>
      </c>
      <c r="G288" t="s">
        <v>4341</v>
      </c>
    </row>
    <row r="289" spans="1:7" ht="11.25" customHeight="1">
      <c r="A289" t="s">
        <v>16</v>
      </c>
      <c r="B289" t="s">
        <v>4292</v>
      </c>
      <c r="C289" t="s">
        <v>4293</v>
      </c>
      <c r="D289" t="s">
        <v>4342</v>
      </c>
      <c r="E289" t="s">
        <v>4343</v>
      </c>
      <c r="F289" t="s">
        <v>3547</v>
      </c>
      <c r="G289" t="s">
        <v>4344</v>
      </c>
    </row>
    <row r="290" spans="1:7" ht="11.25" customHeight="1">
      <c r="A290" t="s">
        <v>16</v>
      </c>
      <c r="B290" t="s">
        <v>4292</v>
      </c>
      <c r="C290" t="s">
        <v>4293</v>
      </c>
      <c r="D290" t="s">
        <v>4345</v>
      </c>
      <c r="E290" t="s">
        <v>4346</v>
      </c>
      <c r="F290" t="s">
        <v>3547</v>
      </c>
      <c r="G290" t="s">
        <v>4347</v>
      </c>
    </row>
    <row r="291" spans="1:7" ht="11.25" customHeight="1">
      <c r="A291" t="s">
        <v>16</v>
      </c>
      <c r="B291" t="s">
        <v>4292</v>
      </c>
      <c r="C291" t="s">
        <v>4293</v>
      </c>
      <c r="D291" t="s">
        <v>4348</v>
      </c>
      <c r="E291" t="s">
        <v>4349</v>
      </c>
      <c r="F291" t="s">
        <v>3649</v>
      </c>
      <c r="G291" t="s">
        <v>4350</v>
      </c>
    </row>
    <row r="292" spans="1:7" ht="11.25" customHeight="1">
      <c r="A292" t="s">
        <v>16</v>
      </c>
      <c r="B292" t="s">
        <v>4351</v>
      </c>
      <c r="C292" t="s">
        <v>4352</v>
      </c>
      <c r="D292" t="s">
        <v>4353</v>
      </c>
      <c r="E292" t="s">
        <v>4354</v>
      </c>
      <c r="F292" t="s">
        <v>3547</v>
      </c>
      <c r="G292" t="s">
        <v>4355</v>
      </c>
    </row>
    <row r="293" spans="1:7" ht="11.25" customHeight="1">
      <c r="A293" t="s">
        <v>16</v>
      </c>
      <c r="B293" t="s">
        <v>4351</v>
      </c>
      <c r="C293" t="s">
        <v>4352</v>
      </c>
      <c r="D293" t="s">
        <v>4356</v>
      </c>
      <c r="E293" t="s">
        <v>4357</v>
      </c>
      <c r="F293" t="s">
        <v>3547</v>
      </c>
      <c r="G293" t="s">
        <v>4358</v>
      </c>
    </row>
    <row r="294" spans="1:7" ht="11.25" customHeight="1">
      <c r="A294" t="s">
        <v>16</v>
      </c>
      <c r="B294" t="s">
        <v>4351</v>
      </c>
      <c r="C294" t="s">
        <v>4352</v>
      </c>
      <c r="D294" t="s">
        <v>4359</v>
      </c>
      <c r="E294" t="s">
        <v>4360</v>
      </c>
      <c r="F294" t="s">
        <v>3547</v>
      </c>
      <c r="G294" t="s">
        <v>4361</v>
      </c>
    </row>
    <row r="295" spans="1:7" ht="11.25" customHeight="1">
      <c r="A295" t="s">
        <v>16</v>
      </c>
      <c r="B295" t="s">
        <v>4351</v>
      </c>
      <c r="C295" t="s">
        <v>4352</v>
      </c>
      <c r="D295" t="s">
        <v>4362</v>
      </c>
      <c r="E295" t="s">
        <v>4363</v>
      </c>
      <c r="F295" t="s">
        <v>3547</v>
      </c>
      <c r="G295" t="s">
        <v>4364</v>
      </c>
    </row>
    <row r="296" spans="1:7" ht="11.25" customHeight="1">
      <c r="A296" t="s">
        <v>16</v>
      </c>
      <c r="B296" t="s">
        <v>4351</v>
      </c>
      <c r="C296" t="s">
        <v>4352</v>
      </c>
      <c r="D296" t="s">
        <v>4365</v>
      </c>
      <c r="E296" t="s">
        <v>4366</v>
      </c>
      <c r="F296" t="s">
        <v>3547</v>
      </c>
      <c r="G296" t="s">
        <v>4367</v>
      </c>
    </row>
    <row r="297" spans="1:7" ht="11.25" customHeight="1">
      <c r="A297" t="s">
        <v>16</v>
      </c>
      <c r="B297" t="s">
        <v>4351</v>
      </c>
      <c r="C297" t="s">
        <v>4352</v>
      </c>
      <c r="D297" t="s">
        <v>4368</v>
      </c>
      <c r="E297" t="s">
        <v>4369</v>
      </c>
      <c r="F297" t="s">
        <v>3547</v>
      </c>
      <c r="G297" t="s">
        <v>4370</v>
      </c>
    </row>
    <row r="298" spans="1:7" ht="11.25" customHeight="1">
      <c r="A298" t="s">
        <v>16</v>
      </c>
      <c r="B298" t="s">
        <v>4351</v>
      </c>
      <c r="C298" t="s">
        <v>4352</v>
      </c>
      <c r="D298" t="s">
        <v>4351</v>
      </c>
      <c r="E298" t="s">
        <v>4352</v>
      </c>
      <c r="F298" t="s">
        <v>3544</v>
      </c>
      <c r="G298" t="s">
        <v>4371</v>
      </c>
    </row>
    <row r="299" spans="1:7" ht="11.25" customHeight="1">
      <c r="A299" t="s">
        <v>16</v>
      </c>
      <c r="B299" t="s">
        <v>4351</v>
      </c>
      <c r="C299" t="s">
        <v>4352</v>
      </c>
      <c r="D299" t="s">
        <v>4372</v>
      </c>
      <c r="E299" t="s">
        <v>4373</v>
      </c>
      <c r="F299" t="s">
        <v>3547</v>
      </c>
      <c r="G299" t="s">
        <v>4374</v>
      </c>
    </row>
    <row r="300" spans="1:7" ht="11.25" customHeight="1">
      <c r="A300" t="s">
        <v>16</v>
      </c>
      <c r="B300" t="s">
        <v>4351</v>
      </c>
      <c r="C300" t="s">
        <v>4352</v>
      </c>
      <c r="D300" t="s">
        <v>4375</v>
      </c>
      <c r="E300" t="s">
        <v>4376</v>
      </c>
      <c r="F300" t="s">
        <v>3547</v>
      </c>
      <c r="G300" t="s">
        <v>4377</v>
      </c>
    </row>
    <row r="301" spans="1:7" ht="11.25" customHeight="1">
      <c r="A301" t="s">
        <v>16</v>
      </c>
      <c r="B301" t="s">
        <v>4351</v>
      </c>
      <c r="C301" t="s">
        <v>4352</v>
      </c>
      <c r="D301" t="s">
        <v>4378</v>
      </c>
      <c r="E301" t="s">
        <v>4379</v>
      </c>
      <c r="F301" t="s">
        <v>3552</v>
      </c>
      <c r="G301" t="s">
        <v>4380</v>
      </c>
    </row>
    <row r="302" spans="1:7" ht="11.25" customHeight="1">
      <c r="A302" t="s">
        <v>16</v>
      </c>
      <c r="B302" t="s">
        <v>4351</v>
      </c>
      <c r="C302" t="s">
        <v>4352</v>
      </c>
      <c r="D302" t="s">
        <v>4381</v>
      </c>
      <c r="E302" t="s">
        <v>4382</v>
      </c>
      <c r="F302" t="s">
        <v>3547</v>
      </c>
      <c r="G302" t="s">
        <v>4383</v>
      </c>
    </row>
    <row r="303" spans="1:7" ht="11.25" customHeight="1">
      <c r="A303" t="s">
        <v>16</v>
      </c>
      <c r="B303" t="s">
        <v>4351</v>
      </c>
      <c r="C303" t="s">
        <v>4352</v>
      </c>
      <c r="D303" t="s">
        <v>4384</v>
      </c>
      <c r="E303" t="s">
        <v>4385</v>
      </c>
      <c r="F303" t="s">
        <v>3547</v>
      </c>
      <c r="G303" t="s">
        <v>4386</v>
      </c>
    </row>
    <row r="304" spans="1:7" ht="11.25" customHeight="1">
      <c r="A304" t="s">
        <v>16</v>
      </c>
      <c r="B304" t="s">
        <v>4351</v>
      </c>
      <c r="C304" t="s">
        <v>4352</v>
      </c>
      <c r="D304" t="s">
        <v>4387</v>
      </c>
      <c r="E304" t="s">
        <v>4388</v>
      </c>
      <c r="F304" t="s">
        <v>3547</v>
      </c>
      <c r="G304" t="s">
        <v>4389</v>
      </c>
    </row>
    <row r="305" spans="1:7" ht="11.25" customHeight="1">
      <c r="A305" t="s">
        <v>16</v>
      </c>
      <c r="B305" t="s">
        <v>4351</v>
      </c>
      <c r="C305" t="s">
        <v>4352</v>
      </c>
      <c r="D305" t="s">
        <v>4390</v>
      </c>
      <c r="E305" t="s">
        <v>4391</v>
      </c>
      <c r="F305" t="s">
        <v>3547</v>
      </c>
      <c r="G305" t="s">
        <v>4392</v>
      </c>
    </row>
    <row r="306" spans="1:7" ht="11.25" customHeight="1">
      <c r="A306" t="s">
        <v>16</v>
      </c>
      <c r="B306" t="s">
        <v>4351</v>
      </c>
      <c r="C306" t="s">
        <v>4352</v>
      </c>
      <c r="D306" t="s">
        <v>4393</v>
      </c>
      <c r="E306" t="s">
        <v>4394</v>
      </c>
      <c r="F306" t="s">
        <v>3547</v>
      </c>
      <c r="G306" t="s">
        <v>4395</v>
      </c>
    </row>
    <row r="307" spans="1:7" ht="11.25" customHeight="1">
      <c r="A307" t="s">
        <v>16</v>
      </c>
      <c r="B307" t="s">
        <v>4351</v>
      </c>
      <c r="C307" t="s">
        <v>4352</v>
      </c>
      <c r="D307" t="s">
        <v>4396</v>
      </c>
      <c r="E307" t="s">
        <v>4397</v>
      </c>
      <c r="F307" t="s">
        <v>3547</v>
      </c>
      <c r="G307" t="s">
        <v>4398</v>
      </c>
    </row>
    <row r="308" spans="1:7" ht="11.25" customHeight="1">
      <c r="A308" t="s">
        <v>16</v>
      </c>
      <c r="B308" t="s">
        <v>4351</v>
      </c>
      <c r="C308" t="s">
        <v>4352</v>
      </c>
      <c r="D308" t="s">
        <v>4399</v>
      </c>
      <c r="E308" t="s">
        <v>4400</v>
      </c>
      <c r="F308" t="s">
        <v>3547</v>
      </c>
      <c r="G308" t="s">
        <v>4401</v>
      </c>
    </row>
    <row r="309" spans="1:7" ht="11.25" customHeight="1">
      <c r="A309" t="s">
        <v>16</v>
      </c>
      <c r="B309" t="s">
        <v>4351</v>
      </c>
      <c r="C309" t="s">
        <v>4352</v>
      </c>
      <c r="D309" t="s">
        <v>4402</v>
      </c>
      <c r="E309" t="s">
        <v>4403</v>
      </c>
      <c r="F309" t="s">
        <v>3547</v>
      </c>
      <c r="G309" t="s">
        <v>4404</v>
      </c>
    </row>
    <row r="310" spans="1:7" ht="11.25" customHeight="1">
      <c r="A310" t="s">
        <v>16</v>
      </c>
      <c r="B310" t="s">
        <v>4351</v>
      </c>
      <c r="C310" t="s">
        <v>4352</v>
      </c>
      <c r="D310" t="s">
        <v>4405</v>
      </c>
      <c r="E310" t="s">
        <v>4406</v>
      </c>
      <c r="F310" t="s">
        <v>3547</v>
      </c>
      <c r="G310" t="s">
        <v>4407</v>
      </c>
    </row>
    <row r="311" spans="1:7" ht="11.25" customHeight="1">
      <c r="A311" t="s">
        <v>16</v>
      </c>
      <c r="B311" t="s">
        <v>4351</v>
      </c>
      <c r="C311" t="s">
        <v>4352</v>
      </c>
      <c r="D311" t="s">
        <v>4408</v>
      </c>
      <c r="E311" t="s">
        <v>4409</v>
      </c>
      <c r="F311" t="s">
        <v>3547</v>
      </c>
      <c r="G311" t="s">
        <v>4410</v>
      </c>
    </row>
    <row r="312" spans="1:7" ht="11.25" customHeight="1">
      <c r="A312" t="s">
        <v>16</v>
      </c>
      <c r="B312" t="s">
        <v>4351</v>
      </c>
      <c r="C312" t="s">
        <v>4352</v>
      </c>
      <c r="D312" t="s">
        <v>4411</v>
      </c>
      <c r="E312" t="s">
        <v>4412</v>
      </c>
      <c r="F312" t="s">
        <v>3547</v>
      </c>
      <c r="G312" t="s">
        <v>4413</v>
      </c>
    </row>
    <row r="313" spans="1:7" ht="11.25" customHeight="1">
      <c r="A313" t="s">
        <v>16</v>
      </c>
      <c r="B313" t="s">
        <v>4351</v>
      </c>
      <c r="C313" t="s">
        <v>4352</v>
      </c>
      <c r="D313" t="s">
        <v>4414</v>
      </c>
      <c r="E313" t="s">
        <v>4415</v>
      </c>
      <c r="F313" t="s">
        <v>3547</v>
      </c>
      <c r="G313" t="s">
        <v>4416</v>
      </c>
    </row>
    <row r="314" spans="1:7" ht="11.25" customHeight="1">
      <c r="A314" t="s">
        <v>16</v>
      </c>
      <c r="B314" t="s">
        <v>4351</v>
      </c>
      <c r="C314" t="s">
        <v>4352</v>
      </c>
      <c r="D314" t="s">
        <v>4417</v>
      </c>
      <c r="E314" t="s">
        <v>4418</v>
      </c>
      <c r="F314" t="s">
        <v>3547</v>
      </c>
      <c r="G314" t="s">
        <v>4419</v>
      </c>
    </row>
    <row r="315" spans="1:7" ht="11.25" customHeight="1">
      <c r="A315" t="s">
        <v>16</v>
      </c>
      <c r="B315" t="s">
        <v>4351</v>
      </c>
      <c r="C315" t="s">
        <v>4352</v>
      </c>
      <c r="D315" t="s">
        <v>4420</v>
      </c>
      <c r="E315" t="s">
        <v>4421</v>
      </c>
      <c r="F315" t="s">
        <v>3547</v>
      </c>
      <c r="G315" t="s">
        <v>4422</v>
      </c>
    </row>
    <row r="316" spans="1:7" ht="11.25" customHeight="1">
      <c r="A316" t="s">
        <v>16</v>
      </c>
      <c r="B316" t="s">
        <v>4351</v>
      </c>
      <c r="C316" t="s">
        <v>4352</v>
      </c>
      <c r="D316" t="s">
        <v>4423</v>
      </c>
      <c r="E316" t="s">
        <v>4424</v>
      </c>
      <c r="F316" t="s">
        <v>3547</v>
      </c>
      <c r="G316" t="s">
        <v>4425</v>
      </c>
    </row>
    <row r="317" spans="1:7" ht="11.25" customHeight="1">
      <c r="A317" t="s">
        <v>16</v>
      </c>
      <c r="B317" t="s">
        <v>4351</v>
      </c>
      <c r="C317" t="s">
        <v>4352</v>
      </c>
      <c r="D317" t="s">
        <v>4426</v>
      </c>
      <c r="E317" t="s">
        <v>4427</v>
      </c>
      <c r="F317" t="s">
        <v>3547</v>
      </c>
      <c r="G317" t="s">
        <v>4428</v>
      </c>
    </row>
    <row r="318" spans="1:7" ht="11.25" customHeight="1">
      <c r="A318" t="s">
        <v>16</v>
      </c>
      <c r="B318" t="s">
        <v>4351</v>
      </c>
      <c r="C318" t="s">
        <v>4352</v>
      </c>
      <c r="D318" t="s">
        <v>4429</v>
      </c>
      <c r="E318" t="s">
        <v>4430</v>
      </c>
      <c r="F318" t="s">
        <v>3547</v>
      </c>
      <c r="G318" t="s">
        <v>4431</v>
      </c>
    </row>
    <row r="319" spans="1:7" ht="11.25" customHeight="1">
      <c r="A319" t="s">
        <v>16</v>
      </c>
      <c r="B319" t="s">
        <v>4351</v>
      </c>
      <c r="C319" t="s">
        <v>4352</v>
      </c>
      <c r="D319" t="s">
        <v>4432</v>
      </c>
      <c r="E319" t="s">
        <v>4433</v>
      </c>
      <c r="F319" t="s">
        <v>3547</v>
      </c>
      <c r="G319" t="s">
        <v>4434</v>
      </c>
    </row>
    <row r="320" spans="1:7" ht="11.25" customHeight="1">
      <c r="A320" t="s">
        <v>16</v>
      </c>
      <c r="B320" t="s">
        <v>4351</v>
      </c>
      <c r="C320" t="s">
        <v>4352</v>
      </c>
      <c r="D320" t="s">
        <v>4435</v>
      </c>
      <c r="E320" t="s">
        <v>4436</v>
      </c>
      <c r="F320" t="s">
        <v>3547</v>
      </c>
      <c r="G320" t="s">
        <v>4437</v>
      </c>
    </row>
    <row r="321" spans="1:7" ht="11.25" customHeight="1">
      <c r="A321" t="s">
        <v>16</v>
      </c>
      <c r="B321" t="s">
        <v>4351</v>
      </c>
      <c r="C321" t="s">
        <v>4352</v>
      </c>
      <c r="D321" t="s">
        <v>4438</v>
      </c>
      <c r="E321" t="s">
        <v>4439</v>
      </c>
      <c r="F321" t="s">
        <v>3547</v>
      </c>
      <c r="G321" t="s">
        <v>4440</v>
      </c>
    </row>
    <row r="322" spans="1:7" ht="11.25" customHeight="1">
      <c r="A322" t="s">
        <v>16</v>
      </c>
      <c r="B322" t="s">
        <v>4351</v>
      </c>
      <c r="C322" t="s">
        <v>4352</v>
      </c>
      <c r="D322" t="s">
        <v>4441</v>
      </c>
      <c r="E322" t="s">
        <v>4442</v>
      </c>
      <c r="F322" t="s">
        <v>3547</v>
      </c>
      <c r="G322" t="s">
        <v>4443</v>
      </c>
    </row>
    <row r="323" spans="1:7" ht="11.25" customHeight="1">
      <c r="A323" t="s">
        <v>16</v>
      </c>
      <c r="B323" t="s">
        <v>4351</v>
      </c>
      <c r="C323" t="s">
        <v>4352</v>
      </c>
      <c r="D323" t="s">
        <v>4444</v>
      </c>
      <c r="E323" t="s">
        <v>4445</v>
      </c>
      <c r="F323" t="s">
        <v>3547</v>
      </c>
      <c r="G323" t="s">
        <v>4446</v>
      </c>
    </row>
    <row r="324" spans="1:7" ht="11.25" customHeight="1">
      <c r="A324" t="s">
        <v>16</v>
      </c>
      <c r="B324" t="s">
        <v>4447</v>
      </c>
      <c r="C324" t="s">
        <v>4448</v>
      </c>
      <c r="D324" t="s">
        <v>4449</v>
      </c>
      <c r="E324" t="s">
        <v>4450</v>
      </c>
      <c r="F324" t="s">
        <v>3547</v>
      </c>
      <c r="G324" t="s">
        <v>4451</v>
      </c>
    </row>
    <row r="325" spans="1:7" ht="11.25" customHeight="1">
      <c r="A325" t="s">
        <v>16</v>
      </c>
      <c r="B325" t="s">
        <v>4447</v>
      </c>
      <c r="C325" t="s">
        <v>4448</v>
      </c>
      <c r="D325" t="s">
        <v>4452</v>
      </c>
      <c r="E325" t="s">
        <v>4453</v>
      </c>
      <c r="F325" t="s">
        <v>3547</v>
      </c>
      <c r="G325" t="s">
        <v>4454</v>
      </c>
    </row>
    <row r="326" spans="1:7" ht="11.25" customHeight="1">
      <c r="A326" t="s">
        <v>16</v>
      </c>
      <c r="B326" t="s">
        <v>4447</v>
      </c>
      <c r="C326" t="s">
        <v>4448</v>
      </c>
      <c r="D326" t="s">
        <v>3603</v>
      </c>
      <c r="E326" t="s">
        <v>4455</v>
      </c>
      <c r="F326" t="s">
        <v>3547</v>
      </c>
      <c r="G326" t="s">
        <v>4456</v>
      </c>
    </row>
    <row r="327" spans="1:7" ht="11.25" customHeight="1">
      <c r="A327" t="s">
        <v>16</v>
      </c>
      <c r="B327" t="s">
        <v>4447</v>
      </c>
      <c r="C327" t="s">
        <v>4448</v>
      </c>
      <c r="D327" t="s">
        <v>4457</v>
      </c>
      <c r="E327" t="s">
        <v>4458</v>
      </c>
      <c r="F327" t="s">
        <v>3547</v>
      </c>
      <c r="G327" t="s">
        <v>4459</v>
      </c>
    </row>
    <row r="328" spans="1:7" ht="11.25" customHeight="1">
      <c r="A328" t="s">
        <v>16</v>
      </c>
      <c r="B328" t="s">
        <v>4447</v>
      </c>
      <c r="C328" t="s">
        <v>4448</v>
      </c>
      <c r="D328" t="s">
        <v>4447</v>
      </c>
      <c r="E328" t="s">
        <v>4448</v>
      </c>
      <c r="F328" t="s">
        <v>3544</v>
      </c>
      <c r="G328" t="s">
        <v>4460</v>
      </c>
    </row>
    <row r="329" spans="1:7" ht="11.25" customHeight="1">
      <c r="A329" t="s">
        <v>16</v>
      </c>
      <c r="B329" t="s">
        <v>4447</v>
      </c>
      <c r="C329" t="s">
        <v>4448</v>
      </c>
      <c r="D329" t="s">
        <v>4461</v>
      </c>
      <c r="E329" t="s">
        <v>4462</v>
      </c>
      <c r="F329" t="s">
        <v>3547</v>
      </c>
      <c r="G329" t="s">
        <v>4463</v>
      </c>
    </row>
    <row r="330" spans="1:7" ht="11.25" customHeight="1">
      <c r="A330" t="s">
        <v>16</v>
      </c>
      <c r="B330" t="s">
        <v>4447</v>
      </c>
      <c r="C330" t="s">
        <v>4448</v>
      </c>
      <c r="D330" t="s">
        <v>4464</v>
      </c>
      <c r="E330" t="s">
        <v>4465</v>
      </c>
      <c r="F330" t="s">
        <v>3547</v>
      </c>
      <c r="G330" t="s">
        <v>4466</v>
      </c>
    </row>
    <row r="331" spans="1:7" ht="11.25" customHeight="1">
      <c r="A331" t="s">
        <v>16</v>
      </c>
      <c r="B331" t="s">
        <v>4447</v>
      </c>
      <c r="C331" t="s">
        <v>4448</v>
      </c>
      <c r="D331" t="s">
        <v>4467</v>
      </c>
      <c r="E331" t="s">
        <v>4468</v>
      </c>
      <c r="F331" t="s">
        <v>3547</v>
      </c>
      <c r="G331" t="s">
        <v>4469</v>
      </c>
    </row>
    <row r="332" spans="1:7" ht="11.25" customHeight="1">
      <c r="A332" t="s">
        <v>16</v>
      </c>
      <c r="B332" t="s">
        <v>4447</v>
      </c>
      <c r="C332" t="s">
        <v>4448</v>
      </c>
      <c r="D332" t="s">
        <v>4470</v>
      </c>
      <c r="E332" t="s">
        <v>4471</v>
      </c>
      <c r="F332" t="s">
        <v>3547</v>
      </c>
      <c r="G332" t="s">
        <v>4472</v>
      </c>
    </row>
    <row r="333" spans="1:7" ht="11.25" customHeight="1">
      <c r="A333" t="s">
        <v>16</v>
      </c>
      <c r="B333" t="s">
        <v>4447</v>
      </c>
      <c r="C333" t="s">
        <v>4448</v>
      </c>
      <c r="D333" t="s">
        <v>4473</v>
      </c>
      <c r="E333" t="s">
        <v>4474</v>
      </c>
      <c r="F333" t="s">
        <v>3547</v>
      </c>
      <c r="G333" t="s">
        <v>4475</v>
      </c>
    </row>
    <row r="334" spans="1:7" ht="11.25" customHeight="1">
      <c r="A334" t="s">
        <v>16</v>
      </c>
      <c r="B334" t="s">
        <v>4447</v>
      </c>
      <c r="C334" t="s">
        <v>4448</v>
      </c>
      <c r="D334" t="s">
        <v>4476</v>
      </c>
      <c r="E334" t="s">
        <v>4477</v>
      </c>
      <c r="F334" t="s">
        <v>3547</v>
      </c>
      <c r="G334" t="s">
        <v>4478</v>
      </c>
    </row>
    <row r="335" spans="1:7" ht="11.25" customHeight="1">
      <c r="A335" t="s">
        <v>16</v>
      </c>
      <c r="B335" t="s">
        <v>4447</v>
      </c>
      <c r="C335" t="s">
        <v>4448</v>
      </c>
      <c r="D335" t="s">
        <v>4479</v>
      </c>
      <c r="E335" t="s">
        <v>4480</v>
      </c>
      <c r="F335" t="s">
        <v>3547</v>
      </c>
      <c r="G335" t="s">
        <v>4481</v>
      </c>
    </row>
    <row r="336" spans="1:7" ht="11.25" customHeight="1">
      <c r="A336" t="s">
        <v>16</v>
      </c>
      <c r="B336" t="s">
        <v>4447</v>
      </c>
      <c r="C336" t="s">
        <v>4448</v>
      </c>
      <c r="D336" t="s">
        <v>4482</v>
      </c>
      <c r="E336" t="s">
        <v>4483</v>
      </c>
      <c r="F336" t="s">
        <v>3547</v>
      </c>
      <c r="G336" t="s">
        <v>4484</v>
      </c>
    </row>
    <row r="337" spans="1:7" ht="11.25" customHeight="1">
      <c r="A337" t="s">
        <v>16</v>
      </c>
      <c r="B337" t="s">
        <v>4447</v>
      </c>
      <c r="C337" t="s">
        <v>4448</v>
      </c>
      <c r="D337" t="s">
        <v>4485</v>
      </c>
      <c r="E337" t="s">
        <v>4486</v>
      </c>
      <c r="F337" t="s">
        <v>3547</v>
      </c>
      <c r="G337" t="s">
        <v>4487</v>
      </c>
    </row>
    <row r="338" spans="1:7" ht="11.25" customHeight="1">
      <c r="A338" t="s">
        <v>16</v>
      </c>
      <c r="B338" t="s">
        <v>4447</v>
      </c>
      <c r="C338" t="s">
        <v>4448</v>
      </c>
      <c r="D338" t="s">
        <v>4488</v>
      </c>
      <c r="E338" t="s">
        <v>4489</v>
      </c>
      <c r="F338" t="s">
        <v>3547</v>
      </c>
      <c r="G338" t="s">
        <v>4490</v>
      </c>
    </row>
    <row r="339" spans="1:7" ht="11.25" customHeight="1">
      <c r="A339" t="s">
        <v>16</v>
      </c>
      <c r="B339" t="s">
        <v>4447</v>
      </c>
      <c r="C339" t="s">
        <v>4448</v>
      </c>
      <c r="D339" t="s">
        <v>4491</v>
      </c>
      <c r="E339" t="s">
        <v>4492</v>
      </c>
      <c r="F339" t="s">
        <v>3547</v>
      </c>
      <c r="G339" t="s">
        <v>4493</v>
      </c>
    </row>
    <row r="340" spans="1:7" ht="11.25" customHeight="1">
      <c r="A340" t="s">
        <v>16</v>
      </c>
      <c r="B340" t="s">
        <v>4447</v>
      </c>
      <c r="C340" t="s">
        <v>4448</v>
      </c>
      <c r="D340" t="s">
        <v>4494</v>
      </c>
      <c r="E340" t="s">
        <v>4495</v>
      </c>
      <c r="F340" t="s">
        <v>3547</v>
      </c>
      <c r="G340" t="s">
        <v>4496</v>
      </c>
    </row>
    <row r="341" spans="1:7" ht="11.25" customHeight="1">
      <c r="A341" t="s">
        <v>16</v>
      </c>
      <c r="B341" t="s">
        <v>4447</v>
      </c>
      <c r="C341" t="s">
        <v>4448</v>
      </c>
      <c r="D341" t="s">
        <v>4497</v>
      </c>
      <c r="E341" t="s">
        <v>4498</v>
      </c>
      <c r="F341" t="s">
        <v>3547</v>
      </c>
      <c r="G341" t="s">
        <v>4499</v>
      </c>
    </row>
    <row r="342" spans="1:7" ht="11.25" customHeight="1">
      <c r="A342" t="s">
        <v>16</v>
      </c>
      <c r="B342" t="s">
        <v>4447</v>
      </c>
      <c r="C342" t="s">
        <v>4448</v>
      </c>
      <c r="D342" t="s">
        <v>4500</v>
      </c>
      <c r="E342" t="s">
        <v>4501</v>
      </c>
      <c r="F342" t="s">
        <v>3547</v>
      </c>
      <c r="G342" t="s">
        <v>4502</v>
      </c>
    </row>
    <row r="343" spans="1:7" ht="11.25" customHeight="1">
      <c r="A343" t="s">
        <v>16</v>
      </c>
      <c r="B343" t="s">
        <v>4447</v>
      </c>
      <c r="C343" t="s">
        <v>4448</v>
      </c>
      <c r="D343" t="s">
        <v>4503</v>
      </c>
      <c r="E343" t="s">
        <v>4504</v>
      </c>
      <c r="F343" t="s">
        <v>3547</v>
      </c>
      <c r="G343" t="s">
        <v>4505</v>
      </c>
    </row>
    <row r="344" spans="1:7" ht="11.25" customHeight="1">
      <c r="A344" t="s">
        <v>16</v>
      </c>
      <c r="B344" t="s">
        <v>4447</v>
      </c>
      <c r="C344" t="s">
        <v>4448</v>
      </c>
      <c r="D344" t="s">
        <v>4506</v>
      </c>
      <c r="E344" t="s">
        <v>4507</v>
      </c>
      <c r="F344" t="s">
        <v>3552</v>
      </c>
      <c r="G344" t="s">
        <v>4508</v>
      </c>
    </row>
    <row r="345" spans="1:7" ht="11.25" customHeight="1">
      <c r="A345" t="s">
        <v>16</v>
      </c>
      <c r="B345" t="s">
        <v>4509</v>
      </c>
      <c r="C345" t="s">
        <v>4510</v>
      </c>
      <c r="D345" t="s">
        <v>4511</v>
      </c>
      <c r="E345" t="s">
        <v>4512</v>
      </c>
      <c r="F345" t="s">
        <v>3547</v>
      </c>
      <c r="G345" t="s">
        <v>4513</v>
      </c>
    </row>
    <row r="346" spans="1:7" ht="11.25" customHeight="1">
      <c r="A346" t="s">
        <v>16</v>
      </c>
      <c r="B346" t="s">
        <v>4509</v>
      </c>
      <c r="C346" t="s">
        <v>4510</v>
      </c>
      <c r="D346" t="s">
        <v>4514</v>
      </c>
      <c r="E346" t="s">
        <v>4515</v>
      </c>
      <c r="F346" t="s">
        <v>3547</v>
      </c>
      <c r="G346" t="s">
        <v>4516</v>
      </c>
    </row>
    <row r="347" spans="1:7" ht="11.25" customHeight="1">
      <c r="A347" t="s">
        <v>16</v>
      </c>
      <c r="B347" t="s">
        <v>4509</v>
      </c>
      <c r="C347" t="s">
        <v>4510</v>
      </c>
      <c r="D347" t="s">
        <v>4517</v>
      </c>
      <c r="E347" t="s">
        <v>4518</v>
      </c>
      <c r="F347" t="s">
        <v>3547</v>
      </c>
      <c r="G347" t="s">
        <v>4519</v>
      </c>
    </row>
    <row r="348" spans="1:7" ht="11.25" customHeight="1">
      <c r="A348" t="s">
        <v>16</v>
      </c>
      <c r="B348" t="s">
        <v>4509</v>
      </c>
      <c r="C348" t="s">
        <v>4510</v>
      </c>
      <c r="D348" t="s">
        <v>4520</v>
      </c>
      <c r="E348" t="s">
        <v>4521</v>
      </c>
      <c r="F348" t="s">
        <v>3547</v>
      </c>
      <c r="G348" t="s">
        <v>4522</v>
      </c>
    </row>
    <row r="349" spans="1:7" ht="11.25" customHeight="1">
      <c r="A349" t="s">
        <v>16</v>
      </c>
      <c r="B349" t="s">
        <v>4509</v>
      </c>
      <c r="C349" t="s">
        <v>4510</v>
      </c>
      <c r="D349" t="s">
        <v>4523</v>
      </c>
      <c r="E349" t="s">
        <v>4524</v>
      </c>
      <c r="F349" t="s">
        <v>3547</v>
      </c>
      <c r="G349" t="s">
        <v>4525</v>
      </c>
    </row>
    <row r="350" spans="1:7" ht="11.25" customHeight="1">
      <c r="A350" t="s">
        <v>16</v>
      </c>
      <c r="B350" t="s">
        <v>4509</v>
      </c>
      <c r="C350" t="s">
        <v>4510</v>
      </c>
      <c r="D350" t="s">
        <v>4526</v>
      </c>
      <c r="E350" t="s">
        <v>4527</v>
      </c>
      <c r="F350" t="s">
        <v>3547</v>
      </c>
      <c r="G350" t="s">
        <v>4528</v>
      </c>
    </row>
    <row r="351" spans="1:7" ht="11.25" customHeight="1">
      <c r="A351" t="s">
        <v>16</v>
      </c>
      <c r="B351" t="s">
        <v>4509</v>
      </c>
      <c r="C351" t="s">
        <v>4510</v>
      </c>
      <c r="D351" t="s">
        <v>4529</v>
      </c>
      <c r="E351" t="s">
        <v>4530</v>
      </c>
      <c r="F351" t="s">
        <v>3547</v>
      </c>
      <c r="G351" t="s">
        <v>4531</v>
      </c>
    </row>
    <row r="352" spans="1:7" ht="11.25" customHeight="1">
      <c r="A352" t="s">
        <v>16</v>
      </c>
      <c r="B352" t="s">
        <v>4509</v>
      </c>
      <c r="C352" t="s">
        <v>4510</v>
      </c>
      <c r="D352" t="s">
        <v>4509</v>
      </c>
      <c r="E352" t="s">
        <v>4510</v>
      </c>
      <c r="F352" t="s">
        <v>3544</v>
      </c>
      <c r="G352" t="s">
        <v>4532</v>
      </c>
    </row>
    <row r="353" spans="1:7" ht="11.25" customHeight="1">
      <c r="A353" t="s">
        <v>16</v>
      </c>
      <c r="B353" t="s">
        <v>4509</v>
      </c>
      <c r="C353" t="s">
        <v>4510</v>
      </c>
      <c r="D353" t="s">
        <v>4533</v>
      </c>
      <c r="E353" t="s">
        <v>4534</v>
      </c>
      <c r="F353" t="s">
        <v>3547</v>
      </c>
      <c r="G353" t="s">
        <v>4535</v>
      </c>
    </row>
    <row r="354" spans="1:7" ht="11.25" customHeight="1">
      <c r="A354" t="s">
        <v>16</v>
      </c>
      <c r="B354" t="s">
        <v>4509</v>
      </c>
      <c r="C354" t="s">
        <v>4510</v>
      </c>
      <c r="D354" t="s">
        <v>4536</v>
      </c>
      <c r="E354" t="s">
        <v>4537</v>
      </c>
      <c r="F354" t="s">
        <v>3547</v>
      </c>
      <c r="G354" t="s">
        <v>4538</v>
      </c>
    </row>
    <row r="355" spans="1:7" ht="11.25" customHeight="1">
      <c r="A355" t="s">
        <v>16</v>
      </c>
      <c r="B355" t="s">
        <v>4509</v>
      </c>
      <c r="C355" t="s">
        <v>4510</v>
      </c>
      <c r="D355" t="s">
        <v>4539</v>
      </c>
      <c r="E355" t="s">
        <v>4540</v>
      </c>
      <c r="F355" t="s">
        <v>3547</v>
      </c>
      <c r="G355" t="s">
        <v>4541</v>
      </c>
    </row>
    <row r="356" spans="1:7" ht="11.25" customHeight="1">
      <c r="A356" t="s">
        <v>16</v>
      </c>
      <c r="B356" t="s">
        <v>4509</v>
      </c>
      <c r="C356" t="s">
        <v>4510</v>
      </c>
      <c r="D356" t="s">
        <v>4542</v>
      </c>
      <c r="E356" t="s">
        <v>4543</v>
      </c>
      <c r="F356" t="s">
        <v>3547</v>
      </c>
      <c r="G356" t="s">
        <v>4544</v>
      </c>
    </row>
    <row r="357" spans="1:7" ht="11.25" customHeight="1">
      <c r="A357" t="s">
        <v>16</v>
      </c>
      <c r="B357" t="s">
        <v>4509</v>
      </c>
      <c r="C357" t="s">
        <v>4510</v>
      </c>
      <c r="D357" t="s">
        <v>4545</v>
      </c>
      <c r="E357" t="s">
        <v>4546</v>
      </c>
      <c r="F357" t="s">
        <v>3547</v>
      </c>
      <c r="G357" t="s">
        <v>4547</v>
      </c>
    </row>
    <row r="358" spans="1:7" ht="11.25" customHeight="1">
      <c r="A358" t="s">
        <v>16</v>
      </c>
      <c r="B358" t="s">
        <v>4509</v>
      </c>
      <c r="C358" t="s">
        <v>4510</v>
      </c>
      <c r="D358" t="s">
        <v>4548</v>
      </c>
      <c r="E358" t="s">
        <v>4549</v>
      </c>
      <c r="F358" t="s">
        <v>3547</v>
      </c>
      <c r="G358" t="s">
        <v>4550</v>
      </c>
    </row>
    <row r="359" spans="1:7" ht="11.25" customHeight="1">
      <c r="A359" t="s">
        <v>16</v>
      </c>
      <c r="B359" t="s">
        <v>4509</v>
      </c>
      <c r="C359" t="s">
        <v>4510</v>
      </c>
      <c r="D359" t="s">
        <v>4551</v>
      </c>
      <c r="E359" t="s">
        <v>4552</v>
      </c>
      <c r="F359" t="s">
        <v>3547</v>
      </c>
      <c r="G359" t="s">
        <v>4553</v>
      </c>
    </row>
    <row r="360" spans="1:7" ht="11.25" customHeight="1">
      <c r="A360" t="s">
        <v>16</v>
      </c>
      <c r="B360" t="s">
        <v>4509</v>
      </c>
      <c r="C360" t="s">
        <v>4510</v>
      </c>
      <c r="D360" t="s">
        <v>4554</v>
      </c>
      <c r="E360" t="s">
        <v>4555</v>
      </c>
      <c r="F360" t="s">
        <v>3547</v>
      </c>
      <c r="G360" t="s">
        <v>4556</v>
      </c>
    </row>
    <row r="361" spans="1:7" ht="11.25" customHeight="1">
      <c r="A361" t="s">
        <v>16</v>
      </c>
      <c r="B361" t="s">
        <v>4509</v>
      </c>
      <c r="C361" t="s">
        <v>4510</v>
      </c>
      <c r="D361" t="s">
        <v>4557</v>
      </c>
      <c r="E361" t="s">
        <v>4558</v>
      </c>
      <c r="F361" t="s">
        <v>3547</v>
      </c>
      <c r="G361" t="s">
        <v>4559</v>
      </c>
    </row>
    <row r="362" spans="1:7" ht="11.25" customHeight="1">
      <c r="A362" t="s">
        <v>16</v>
      </c>
      <c r="B362" t="s">
        <v>4509</v>
      </c>
      <c r="C362" t="s">
        <v>4510</v>
      </c>
      <c r="D362" t="s">
        <v>4560</v>
      </c>
      <c r="E362" t="s">
        <v>4561</v>
      </c>
      <c r="F362" t="s">
        <v>3547</v>
      </c>
      <c r="G362" t="s">
        <v>4562</v>
      </c>
    </row>
    <row r="363" spans="1:7" ht="11.25" customHeight="1">
      <c r="A363" t="s">
        <v>16</v>
      </c>
      <c r="B363" t="s">
        <v>4509</v>
      </c>
      <c r="C363" t="s">
        <v>4510</v>
      </c>
      <c r="D363" t="s">
        <v>4563</v>
      </c>
      <c r="E363" t="s">
        <v>4564</v>
      </c>
      <c r="F363" t="s">
        <v>3547</v>
      </c>
      <c r="G363" t="s">
        <v>4565</v>
      </c>
    </row>
    <row r="364" spans="1:7" ht="11.25" customHeight="1">
      <c r="A364" t="s">
        <v>16</v>
      </c>
      <c r="B364" t="s">
        <v>4509</v>
      </c>
      <c r="C364" t="s">
        <v>4510</v>
      </c>
      <c r="D364" t="s">
        <v>4566</v>
      </c>
      <c r="E364" t="s">
        <v>4567</v>
      </c>
      <c r="F364" t="s">
        <v>3547</v>
      </c>
      <c r="G364" t="s">
        <v>4568</v>
      </c>
    </row>
    <row r="365" spans="1:7" ht="11.25" customHeight="1">
      <c r="A365" t="s">
        <v>16</v>
      </c>
      <c r="B365" t="s">
        <v>4509</v>
      </c>
      <c r="C365" t="s">
        <v>4510</v>
      </c>
      <c r="D365" t="s">
        <v>4569</v>
      </c>
      <c r="E365" t="s">
        <v>4570</v>
      </c>
      <c r="F365" t="s">
        <v>3547</v>
      </c>
      <c r="G365" t="s">
        <v>4571</v>
      </c>
    </row>
    <row r="366" spans="1:7" ht="11.25" customHeight="1">
      <c r="A366" t="s">
        <v>16</v>
      </c>
      <c r="B366" t="s">
        <v>4509</v>
      </c>
      <c r="C366" t="s">
        <v>4510</v>
      </c>
      <c r="D366" t="s">
        <v>4572</v>
      </c>
      <c r="E366" t="s">
        <v>4573</v>
      </c>
      <c r="F366" t="s">
        <v>3547</v>
      </c>
      <c r="G366" t="s">
        <v>4574</v>
      </c>
    </row>
    <row r="367" spans="1:7" ht="11.25" customHeight="1">
      <c r="A367" t="s">
        <v>16</v>
      </c>
      <c r="B367" t="s">
        <v>4509</v>
      </c>
      <c r="C367" t="s">
        <v>4510</v>
      </c>
      <c r="D367" t="s">
        <v>4575</v>
      </c>
      <c r="E367" t="s">
        <v>4576</v>
      </c>
      <c r="F367" t="s">
        <v>3547</v>
      </c>
      <c r="G367" t="s">
        <v>4577</v>
      </c>
    </row>
    <row r="368" spans="1:7" ht="11.25" customHeight="1">
      <c r="A368" t="s">
        <v>16</v>
      </c>
      <c r="B368" t="s">
        <v>4509</v>
      </c>
      <c r="C368" t="s">
        <v>4510</v>
      </c>
      <c r="D368" t="s">
        <v>4578</v>
      </c>
      <c r="E368" t="s">
        <v>4579</v>
      </c>
      <c r="F368" t="s">
        <v>3547</v>
      </c>
      <c r="G368" t="s">
        <v>4580</v>
      </c>
    </row>
    <row r="369" spans="1:7" ht="11.25" customHeight="1">
      <c r="A369" t="s">
        <v>16</v>
      </c>
      <c r="B369" t="s">
        <v>4509</v>
      </c>
      <c r="C369" t="s">
        <v>4510</v>
      </c>
      <c r="D369" t="s">
        <v>4581</v>
      </c>
      <c r="E369" t="s">
        <v>4582</v>
      </c>
      <c r="F369" t="s">
        <v>3547</v>
      </c>
      <c r="G369" t="s">
        <v>4583</v>
      </c>
    </row>
    <row r="370" spans="1:7" ht="11.25" customHeight="1">
      <c r="A370" t="s">
        <v>16</v>
      </c>
      <c r="B370" t="s">
        <v>4509</v>
      </c>
      <c r="C370" t="s">
        <v>4510</v>
      </c>
      <c r="D370" t="s">
        <v>4584</v>
      </c>
      <c r="E370" t="s">
        <v>4585</v>
      </c>
      <c r="F370" t="s">
        <v>3547</v>
      </c>
      <c r="G370" t="s">
        <v>4586</v>
      </c>
    </row>
    <row r="371" spans="1:7" ht="11.25" customHeight="1">
      <c r="A371" t="s">
        <v>16</v>
      </c>
      <c r="B371" t="s">
        <v>4587</v>
      </c>
      <c r="C371" t="s">
        <v>4588</v>
      </c>
      <c r="D371" t="s">
        <v>4587</v>
      </c>
      <c r="E371" t="s">
        <v>4588</v>
      </c>
      <c r="F371" t="s">
        <v>4589</v>
      </c>
      <c r="G371" t="s">
        <v>4590</v>
      </c>
    </row>
    <row r="372" spans="1:7" ht="11.25" customHeight="1">
      <c r="A372" t="s">
        <v>16</v>
      </c>
      <c r="B372" t="s">
        <v>4591</v>
      </c>
      <c r="C372" t="s">
        <v>4592</v>
      </c>
      <c r="D372" t="s">
        <v>4591</v>
      </c>
      <c r="E372" t="s">
        <v>4592</v>
      </c>
      <c r="F372" t="s">
        <v>4589</v>
      </c>
      <c r="G372" t="s">
        <v>4593</v>
      </c>
    </row>
    <row r="373" spans="1:7" ht="11.25" customHeight="1">
      <c r="A373" t="s">
        <v>16</v>
      </c>
      <c r="B373" t="s">
        <v>4594</v>
      </c>
      <c r="C373" t="s">
        <v>4595</v>
      </c>
      <c r="D373" t="s">
        <v>4596</v>
      </c>
      <c r="E373" t="s">
        <v>4597</v>
      </c>
      <c r="F373" t="s">
        <v>3547</v>
      </c>
      <c r="G373" t="s">
        <v>4598</v>
      </c>
    </row>
    <row r="374" spans="1:7" ht="11.25" customHeight="1">
      <c r="A374" t="s">
        <v>16</v>
      </c>
      <c r="B374" t="s">
        <v>4594</v>
      </c>
      <c r="C374" t="s">
        <v>4595</v>
      </c>
      <c r="D374" t="s">
        <v>4599</v>
      </c>
      <c r="E374" t="s">
        <v>4600</v>
      </c>
      <c r="F374" t="s">
        <v>3547</v>
      </c>
      <c r="G374" t="s">
        <v>4601</v>
      </c>
    </row>
    <row r="375" spans="1:7" ht="11.25" customHeight="1">
      <c r="A375" t="s">
        <v>16</v>
      </c>
      <c r="B375" t="s">
        <v>4594</v>
      </c>
      <c r="C375" t="s">
        <v>4595</v>
      </c>
      <c r="D375" t="s">
        <v>4602</v>
      </c>
      <c r="E375" t="s">
        <v>4603</v>
      </c>
      <c r="F375" t="s">
        <v>3547</v>
      </c>
      <c r="G375" t="s">
        <v>4604</v>
      </c>
    </row>
    <row r="376" spans="1:7" ht="11.25" customHeight="1">
      <c r="A376" t="s">
        <v>16</v>
      </c>
      <c r="B376" t="s">
        <v>4594</v>
      </c>
      <c r="C376" t="s">
        <v>4595</v>
      </c>
      <c r="D376" t="s">
        <v>4605</v>
      </c>
      <c r="E376" t="s">
        <v>4606</v>
      </c>
      <c r="F376" t="s">
        <v>3547</v>
      </c>
      <c r="G376" t="s">
        <v>4607</v>
      </c>
    </row>
    <row r="377" spans="1:7" ht="11.25" customHeight="1">
      <c r="A377" t="s">
        <v>16</v>
      </c>
      <c r="B377" t="s">
        <v>4594</v>
      </c>
      <c r="C377" t="s">
        <v>4595</v>
      </c>
      <c r="D377" t="s">
        <v>4594</v>
      </c>
      <c r="E377" t="s">
        <v>4595</v>
      </c>
      <c r="F377" t="s">
        <v>3544</v>
      </c>
      <c r="G377" t="s">
        <v>4608</v>
      </c>
    </row>
    <row r="378" spans="1:7" ht="11.25" customHeight="1">
      <c r="A378" t="s">
        <v>16</v>
      </c>
      <c r="B378" t="s">
        <v>4594</v>
      </c>
      <c r="C378" t="s">
        <v>4595</v>
      </c>
      <c r="D378" t="s">
        <v>4609</v>
      </c>
      <c r="E378" t="s">
        <v>4610</v>
      </c>
      <c r="F378" t="s">
        <v>3547</v>
      </c>
      <c r="G378" t="s">
        <v>4611</v>
      </c>
    </row>
    <row r="379" spans="1:7" ht="11.25" customHeight="1">
      <c r="A379" t="s">
        <v>16</v>
      </c>
      <c r="B379" t="s">
        <v>4594</v>
      </c>
      <c r="C379" t="s">
        <v>4595</v>
      </c>
      <c r="D379" t="s">
        <v>4612</v>
      </c>
      <c r="E379" t="s">
        <v>4613</v>
      </c>
      <c r="F379" t="s">
        <v>3547</v>
      </c>
      <c r="G379" t="s">
        <v>4614</v>
      </c>
    </row>
    <row r="380" spans="1:7" ht="11.25" customHeight="1">
      <c r="A380" t="s">
        <v>16</v>
      </c>
      <c r="B380" t="s">
        <v>4594</v>
      </c>
      <c r="C380" t="s">
        <v>4595</v>
      </c>
      <c r="D380" t="s">
        <v>4615</v>
      </c>
      <c r="E380" t="s">
        <v>4616</v>
      </c>
      <c r="F380" t="s">
        <v>3547</v>
      </c>
      <c r="G380" t="s">
        <v>4617</v>
      </c>
    </row>
    <row r="381" spans="1:7" ht="11.25" customHeight="1">
      <c r="A381" t="s">
        <v>16</v>
      </c>
      <c r="B381" t="s">
        <v>4594</v>
      </c>
      <c r="C381" t="s">
        <v>4595</v>
      </c>
      <c r="D381" t="s">
        <v>4618</v>
      </c>
      <c r="E381" t="s">
        <v>4619</v>
      </c>
      <c r="F381" t="s">
        <v>3547</v>
      </c>
      <c r="G381" t="s">
        <v>4620</v>
      </c>
    </row>
    <row r="382" spans="1:7" ht="11.25" customHeight="1">
      <c r="A382" t="s">
        <v>16</v>
      </c>
      <c r="B382" t="s">
        <v>4594</v>
      </c>
      <c r="C382" t="s">
        <v>4595</v>
      </c>
      <c r="D382" t="s">
        <v>4621</v>
      </c>
      <c r="E382" t="s">
        <v>4622</v>
      </c>
      <c r="F382" t="s">
        <v>3547</v>
      </c>
      <c r="G382" t="s">
        <v>4623</v>
      </c>
    </row>
    <row r="383" spans="1:7" ht="11.25" customHeight="1">
      <c r="A383" t="s">
        <v>16</v>
      </c>
      <c r="B383" t="s">
        <v>4594</v>
      </c>
      <c r="C383" t="s">
        <v>4595</v>
      </c>
      <c r="D383" t="s">
        <v>4624</v>
      </c>
      <c r="E383" t="s">
        <v>4625</v>
      </c>
      <c r="F383" t="s">
        <v>3547</v>
      </c>
      <c r="G383" t="s">
        <v>4626</v>
      </c>
    </row>
    <row r="384" spans="1:7" ht="11.25" customHeight="1">
      <c r="A384" t="s">
        <v>16</v>
      </c>
      <c r="B384" t="s">
        <v>4594</v>
      </c>
      <c r="C384" t="s">
        <v>4595</v>
      </c>
      <c r="D384" t="s">
        <v>4627</v>
      </c>
      <c r="E384" t="s">
        <v>4628</v>
      </c>
      <c r="F384" t="s">
        <v>3547</v>
      </c>
      <c r="G384" t="s">
        <v>4629</v>
      </c>
    </row>
    <row r="385" spans="1:7" ht="11.25" customHeight="1">
      <c r="A385" t="s">
        <v>16</v>
      </c>
      <c r="B385" t="s">
        <v>4594</v>
      </c>
      <c r="C385" t="s">
        <v>4595</v>
      </c>
      <c r="D385" t="s">
        <v>4630</v>
      </c>
      <c r="E385" t="s">
        <v>4631</v>
      </c>
      <c r="F385" t="s">
        <v>3547</v>
      </c>
      <c r="G385" t="s">
        <v>4632</v>
      </c>
    </row>
    <row r="386" spans="1:7" ht="11.25" customHeight="1">
      <c r="A386" t="s">
        <v>16</v>
      </c>
      <c r="B386" t="s">
        <v>4594</v>
      </c>
      <c r="C386" t="s">
        <v>4595</v>
      </c>
      <c r="D386" t="s">
        <v>4633</v>
      </c>
      <c r="E386" t="s">
        <v>4634</v>
      </c>
      <c r="F386" t="s">
        <v>3547</v>
      </c>
      <c r="G386" t="s">
        <v>4635</v>
      </c>
    </row>
    <row r="387" spans="1:7" ht="11.25" customHeight="1">
      <c r="A387" t="s">
        <v>16</v>
      </c>
      <c r="B387" t="s">
        <v>4594</v>
      </c>
      <c r="C387" t="s">
        <v>4595</v>
      </c>
      <c r="D387" t="s">
        <v>4636</v>
      </c>
      <c r="E387" t="s">
        <v>4637</v>
      </c>
      <c r="F387" t="s">
        <v>3547</v>
      </c>
      <c r="G387" t="s">
        <v>4638</v>
      </c>
    </row>
    <row r="388" spans="1:7" ht="11.25" customHeight="1">
      <c r="A388" t="s">
        <v>16</v>
      </c>
      <c r="B388" t="s">
        <v>4594</v>
      </c>
      <c r="C388" t="s">
        <v>4595</v>
      </c>
      <c r="D388" t="s">
        <v>4639</v>
      </c>
      <c r="E388" t="s">
        <v>4640</v>
      </c>
      <c r="F388" t="s">
        <v>3547</v>
      </c>
      <c r="G388" t="s">
        <v>4641</v>
      </c>
    </row>
    <row r="389" spans="1:7" ht="11.25" customHeight="1">
      <c r="A389" t="s">
        <v>16</v>
      </c>
      <c r="B389" t="s">
        <v>4594</v>
      </c>
      <c r="C389" t="s">
        <v>4595</v>
      </c>
      <c r="D389" t="s">
        <v>4642</v>
      </c>
      <c r="E389" t="s">
        <v>4643</v>
      </c>
      <c r="F389" t="s">
        <v>3547</v>
      </c>
      <c r="G389" t="s">
        <v>4644</v>
      </c>
    </row>
    <row r="390" spans="1:7" ht="11.25" customHeight="1">
      <c r="A390" t="s">
        <v>16</v>
      </c>
      <c r="B390" t="s">
        <v>4594</v>
      </c>
      <c r="C390" t="s">
        <v>4595</v>
      </c>
      <c r="D390" t="s">
        <v>4645</v>
      </c>
      <c r="E390" t="s">
        <v>4646</v>
      </c>
      <c r="F390" t="s">
        <v>3547</v>
      </c>
      <c r="G390" t="s">
        <v>4647</v>
      </c>
    </row>
    <row r="391" spans="1:7" ht="11.25" customHeight="1">
      <c r="A391" t="s">
        <v>16</v>
      </c>
      <c r="B391" t="s">
        <v>4594</v>
      </c>
      <c r="C391" t="s">
        <v>4595</v>
      </c>
      <c r="D391" t="s">
        <v>4648</v>
      </c>
      <c r="E391" t="s">
        <v>4649</v>
      </c>
      <c r="F391" t="s">
        <v>3547</v>
      </c>
      <c r="G391" t="s">
        <v>4650</v>
      </c>
    </row>
    <row r="392" spans="1:7" ht="11.25" customHeight="1">
      <c r="A392" t="s">
        <v>16</v>
      </c>
      <c r="B392" t="s">
        <v>4594</v>
      </c>
      <c r="C392" t="s">
        <v>4595</v>
      </c>
      <c r="D392" t="s">
        <v>4651</v>
      </c>
      <c r="E392" t="s">
        <v>4652</v>
      </c>
      <c r="F392" t="s">
        <v>3547</v>
      </c>
      <c r="G392" t="s">
        <v>4653</v>
      </c>
    </row>
    <row r="393" spans="1:7" ht="11.25" customHeight="1">
      <c r="A393" t="s">
        <v>16</v>
      </c>
      <c r="B393" t="s">
        <v>4654</v>
      </c>
      <c r="C393" t="s">
        <v>4655</v>
      </c>
      <c r="D393" t="s">
        <v>3922</v>
      </c>
      <c r="E393" t="s">
        <v>4656</v>
      </c>
      <c r="F393" t="s">
        <v>3547</v>
      </c>
      <c r="G393" t="s">
        <v>4657</v>
      </c>
    </row>
    <row r="394" spans="1:7" ht="11.25" customHeight="1">
      <c r="A394" t="s">
        <v>16</v>
      </c>
      <c r="B394" t="s">
        <v>4654</v>
      </c>
      <c r="C394" t="s">
        <v>4655</v>
      </c>
      <c r="D394" t="s">
        <v>4658</v>
      </c>
      <c r="E394" t="s">
        <v>4659</v>
      </c>
      <c r="F394" t="s">
        <v>3547</v>
      </c>
      <c r="G394" t="s">
        <v>4660</v>
      </c>
    </row>
    <row r="395" spans="1:7" ht="11.25" customHeight="1">
      <c r="A395" t="s">
        <v>16</v>
      </c>
      <c r="B395" t="s">
        <v>4654</v>
      </c>
      <c r="C395" t="s">
        <v>4655</v>
      </c>
      <c r="D395" t="s">
        <v>4661</v>
      </c>
      <c r="E395" t="s">
        <v>4662</v>
      </c>
      <c r="F395" t="s">
        <v>3547</v>
      </c>
      <c r="G395" t="s">
        <v>4663</v>
      </c>
    </row>
    <row r="396" spans="1:7" ht="11.25" customHeight="1">
      <c r="A396" t="s">
        <v>16</v>
      </c>
      <c r="B396" t="s">
        <v>4654</v>
      </c>
      <c r="C396" t="s">
        <v>4655</v>
      </c>
      <c r="D396" t="s">
        <v>4664</v>
      </c>
      <c r="E396" t="s">
        <v>4665</v>
      </c>
      <c r="F396" t="s">
        <v>3547</v>
      </c>
      <c r="G396" t="s">
        <v>4666</v>
      </c>
    </row>
    <row r="397" spans="1:7" ht="11.25" customHeight="1">
      <c r="A397" t="s">
        <v>16</v>
      </c>
      <c r="B397" t="s">
        <v>4654</v>
      </c>
      <c r="C397" t="s">
        <v>4655</v>
      </c>
      <c r="D397" t="s">
        <v>4667</v>
      </c>
      <c r="E397" t="s">
        <v>4668</v>
      </c>
      <c r="F397" t="s">
        <v>3547</v>
      </c>
      <c r="G397" t="s">
        <v>4669</v>
      </c>
    </row>
    <row r="398" spans="1:7" ht="11.25" customHeight="1">
      <c r="A398" t="s">
        <v>16</v>
      </c>
      <c r="B398" t="s">
        <v>4654</v>
      </c>
      <c r="C398" t="s">
        <v>4655</v>
      </c>
      <c r="D398" t="s">
        <v>4670</v>
      </c>
      <c r="E398" t="s">
        <v>4671</v>
      </c>
      <c r="F398" t="s">
        <v>3552</v>
      </c>
      <c r="G398" t="s">
        <v>4672</v>
      </c>
    </row>
    <row r="399" spans="1:7" ht="11.25" customHeight="1">
      <c r="A399" t="s">
        <v>16</v>
      </c>
      <c r="B399" t="s">
        <v>4654</v>
      </c>
      <c r="C399" t="s">
        <v>4655</v>
      </c>
      <c r="D399" t="s">
        <v>4654</v>
      </c>
      <c r="E399" t="s">
        <v>4655</v>
      </c>
      <c r="F399" t="s">
        <v>3544</v>
      </c>
      <c r="G399" t="s">
        <v>4673</v>
      </c>
    </row>
    <row r="400" spans="1:7" ht="11.25" customHeight="1">
      <c r="A400" t="s">
        <v>16</v>
      </c>
      <c r="B400" t="s">
        <v>4654</v>
      </c>
      <c r="C400" t="s">
        <v>4655</v>
      </c>
      <c r="D400" t="s">
        <v>4674</v>
      </c>
      <c r="E400" t="s">
        <v>4675</v>
      </c>
      <c r="F400" t="s">
        <v>3547</v>
      </c>
      <c r="G400" t="s">
        <v>4676</v>
      </c>
    </row>
    <row r="401" spans="1:7" ht="11.25" customHeight="1">
      <c r="A401" t="s">
        <v>16</v>
      </c>
      <c r="B401" t="s">
        <v>4654</v>
      </c>
      <c r="C401" t="s">
        <v>4655</v>
      </c>
      <c r="D401" t="s">
        <v>4677</v>
      </c>
      <c r="E401" t="s">
        <v>4678</v>
      </c>
      <c r="F401" t="s">
        <v>3547</v>
      </c>
      <c r="G401" t="s">
        <v>4679</v>
      </c>
    </row>
    <row r="402" spans="1:7" ht="11.25" customHeight="1">
      <c r="A402" t="s">
        <v>16</v>
      </c>
      <c r="B402" t="s">
        <v>4654</v>
      </c>
      <c r="C402" t="s">
        <v>4655</v>
      </c>
      <c r="D402" t="s">
        <v>4680</v>
      </c>
      <c r="E402" t="s">
        <v>4681</v>
      </c>
      <c r="F402" t="s">
        <v>3547</v>
      </c>
      <c r="G402" t="s">
        <v>4682</v>
      </c>
    </row>
    <row r="403" spans="1:7" ht="11.25" customHeight="1">
      <c r="A403" t="s">
        <v>16</v>
      </c>
      <c r="B403" t="s">
        <v>4654</v>
      </c>
      <c r="C403" t="s">
        <v>4655</v>
      </c>
      <c r="D403" t="s">
        <v>4683</v>
      </c>
      <c r="E403" t="s">
        <v>4684</v>
      </c>
      <c r="F403" t="s">
        <v>3547</v>
      </c>
      <c r="G403" t="s">
        <v>4685</v>
      </c>
    </row>
    <row r="404" spans="1:7" ht="11.25" customHeight="1">
      <c r="A404" t="s">
        <v>16</v>
      </c>
      <c r="B404" t="s">
        <v>4654</v>
      </c>
      <c r="C404" t="s">
        <v>4655</v>
      </c>
      <c r="D404" t="s">
        <v>4686</v>
      </c>
      <c r="E404" t="s">
        <v>4687</v>
      </c>
      <c r="F404" t="s">
        <v>3547</v>
      </c>
      <c r="G404" t="s">
        <v>4688</v>
      </c>
    </row>
    <row r="405" spans="1:7" ht="11.25" customHeight="1">
      <c r="A405" t="s">
        <v>16</v>
      </c>
      <c r="B405" t="s">
        <v>4654</v>
      </c>
      <c r="C405" t="s">
        <v>4655</v>
      </c>
      <c r="D405" t="s">
        <v>4689</v>
      </c>
      <c r="E405" t="s">
        <v>4690</v>
      </c>
      <c r="F405" t="s">
        <v>3547</v>
      </c>
      <c r="G405" t="s">
        <v>4691</v>
      </c>
    </row>
    <row r="406" spans="1:7" ht="11.25" customHeight="1">
      <c r="A406" t="s">
        <v>16</v>
      </c>
      <c r="B406" t="s">
        <v>4654</v>
      </c>
      <c r="C406" t="s">
        <v>4655</v>
      </c>
      <c r="D406" t="s">
        <v>4692</v>
      </c>
      <c r="E406" t="s">
        <v>4693</v>
      </c>
      <c r="F406" t="s">
        <v>3547</v>
      </c>
      <c r="G406" t="s">
        <v>4694</v>
      </c>
    </row>
    <row r="407" spans="1:7" ht="11.25" customHeight="1">
      <c r="A407" t="s">
        <v>16</v>
      </c>
      <c r="B407" t="s">
        <v>4654</v>
      </c>
      <c r="C407" t="s">
        <v>4655</v>
      </c>
      <c r="D407" t="s">
        <v>4695</v>
      </c>
      <c r="E407" t="s">
        <v>4696</v>
      </c>
      <c r="F407" t="s">
        <v>3547</v>
      </c>
      <c r="G407" t="s">
        <v>4697</v>
      </c>
    </row>
    <row r="408" spans="1:7" ht="11.25" customHeight="1">
      <c r="A408" t="s">
        <v>16</v>
      </c>
      <c r="B408" t="s">
        <v>4654</v>
      </c>
      <c r="C408" t="s">
        <v>4655</v>
      </c>
      <c r="D408" t="s">
        <v>4698</v>
      </c>
      <c r="E408" t="s">
        <v>4699</v>
      </c>
      <c r="F408" t="s">
        <v>3547</v>
      </c>
      <c r="G408" t="s">
        <v>4700</v>
      </c>
    </row>
    <row r="409" spans="1:7" ht="11.25" customHeight="1">
      <c r="A409" t="s">
        <v>16</v>
      </c>
      <c r="B409" t="s">
        <v>4654</v>
      </c>
      <c r="C409" t="s">
        <v>4655</v>
      </c>
      <c r="D409" t="s">
        <v>4701</v>
      </c>
      <c r="E409" t="s">
        <v>4702</v>
      </c>
      <c r="F409" t="s">
        <v>3547</v>
      </c>
      <c r="G409" t="s">
        <v>4703</v>
      </c>
    </row>
    <row r="410" spans="1:7" ht="11.25" customHeight="1">
      <c r="A410" t="s">
        <v>16</v>
      </c>
      <c r="B410" t="s">
        <v>4704</v>
      </c>
      <c r="C410" t="s">
        <v>4705</v>
      </c>
      <c r="D410" t="s">
        <v>4706</v>
      </c>
      <c r="E410" t="s">
        <v>4707</v>
      </c>
      <c r="F410" t="s">
        <v>3547</v>
      </c>
      <c r="G410" t="s">
        <v>4708</v>
      </c>
    </row>
    <row r="411" spans="1:7" ht="11.25" customHeight="1">
      <c r="A411" t="s">
        <v>16</v>
      </c>
      <c r="B411" t="s">
        <v>4704</v>
      </c>
      <c r="C411" t="s">
        <v>4705</v>
      </c>
      <c r="D411" t="s">
        <v>4709</v>
      </c>
      <c r="E411" t="s">
        <v>4710</v>
      </c>
      <c r="F411" t="s">
        <v>3547</v>
      </c>
      <c r="G411" t="s">
        <v>4711</v>
      </c>
    </row>
    <row r="412" spans="1:7" ht="11.25" customHeight="1">
      <c r="A412" t="s">
        <v>16</v>
      </c>
      <c r="B412" t="s">
        <v>4704</v>
      </c>
      <c r="C412" t="s">
        <v>4705</v>
      </c>
      <c r="D412" t="s">
        <v>4712</v>
      </c>
      <c r="E412" t="s">
        <v>4713</v>
      </c>
      <c r="F412" t="s">
        <v>3547</v>
      </c>
      <c r="G412" t="s">
        <v>4714</v>
      </c>
    </row>
    <row r="413" spans="1:7" ht="11.25" customHeight="1">
      <c r="A413" t="s">
        <v>16</v>
      </c>
      <c r="B413" t="s">
        <v>4704</v>
      </c>
      <c r="C413" t="s">
        <v>4705</v>
      </c>
      <c r="D413" t="s">
        <v>4715</v>
      </c>
      <c r="E413" t="s">
        <v>4716</v>
      </c>
      <c r="F413" t="s">
        <v>3547</v>
      </c>
      <c r="G413" t="s">
        <v>4717</v>
      </c>
    </row>
    <row r="414" spans="1:7" ht="11.25" customHeight="1">
      <c r="A414" t="s">
        <v>16</v>
      </c>
      <c r="B414" t="s">
        <v>4704</v>
      </c>
      <c r="C414" t="s">
        <v>4705</v>
      </c>
      <c r="D414" t="s">
        <v>4718</v>
      </c>
      <c r="E414" t="s">
        <v>4719</v>
      </c>
      <c r="F414" t="s">
        <v>3547</v>
      </c>
      <c r="G414" t="s">
        <v>4720</v>
      </c>
    </row>
    <row r="415" spans="1:7" ht="11.25" customHeight="1">
      <c r="A415" t="s">
        <v>16</v>
      </c>
      <c r="B415" t="s">
        <v>4704</v>
      </c>
      <c r="C415" t="s">
        <v>4705</v>
      </c>
      <c r="D415" t="s">
        <v>4721</v>
      </c>
      <c r="E415" t="s">
        <v>4722</v>
      </c>
      <c r="F415" t="s">
        <v>3547</v>
      </c>
      <c r="G415" t="s">
        <v>4723</v>
      </c>
    </row>
    <row r="416" spans="1:7" ht="11.25" customHeight="1">
      <c r="A416" t="s">
        <v>16</v>
      </c>
      <c r="B416" t="s">
        <v>4704</v>
      </c>
      <c r="C416" t="s">
        <v>4705</v>
      </c>
      <c r="D416" t="s">
        <v>4724</v>
      </c>
      <c r="E416" t="s">
        <v>4725</v>
      </c>
      <c r="F416" t="s">
        <v>3547</v>
      </c>
      <c r="G416" t="s">
        <v>4726</v>
      </c>
    </row>
    <row r="417" spans="1:7" ht="11.25" customHeight="1">
      <c r="A417" t="s">
        <v>16</v>
      </c>
      <c r="B417" t="s">
        <v>4704</v>
      </c>
      <c r="C417" t="s">
        <v>4705</v>
      </c>
      <c r="D417" t="s">
        <v>4727</v>
      </c>
      <c r="E417" t="s">
        <v>4728</v>
      </c>
      <c r="F417" t="s">
        <v>3547</v>
      </c>
      <c r="G417" t="s">
        <v>4729</v>
      </c>
    </row>
    <row r="418" spans="1:7" ht="11.25" customHeight="1">
      <c r="A418" t="s">
        <v>16</v>
      </c>
      <c r="B418" t="s">
        <v>4704</v>
      </c>
      <c r="C418" t="s">
        <v>4705</v>
      </c>
      <c r="D418" t="s">
        <v>4730</v>
      </c>
      <c r="E418" t="s">
        <v>4731</v>
      </c>
      <c r="F418" t="s">
        <v>3552</v>
      </c>
      <c r="G418" t="s">
        <v>4732</v>
      </c>
    </row>
    <row r="419" spans="1:7" ht="11.25" customHeight="1">
      <c r="A419" t="s">
        <v>16</v>
      </c>
      <c r="B419" t="s">
        <v>4704</v>
      </c>
      <c r="C419" t="s">
        <v>4705</v>
      </c>
      <c r="D419" t="s">
        <v>4733</v>
      </c>
      <c r="E419" t="s">
        <v>4734</v>
      </c>
      <c r="F419" t="s">
        <v>3547</v>
      </c>
      <c r="G419" t="s">
        <v>4735</v>
      </c>
    </row>
    <row r="420" spans="1:7" ht="11.25" customHeight="1">
      <c r="A420" t="s">
        <v>16</v>
      </c>
      <c r="B420" t="s">
        <v>4704</v>
      </c>
      <c r="C420" t="s">
        <v>4705</v>
      </c>
      <c r="D420" t="s">
        <v>4736</v>
      </c>
      <c r="E420" t="s">
        <v>4737</v>
      </c>
      <c r="F420" t="s">
        <v>3547</v>
      </c>
      <c r="G420" t="s">
        <v>4738</v>
      </c>
    </row>
    <row r="421" spans="1:7" ht="11.25" customHeight="1">
      <c r="A421" t="s">
        <v>16</v>
      </c>
      <c r="B421" t="s">
        <v>4704</v>
      </c>
      <c r="C421" t="s">
        <v>4705</v>
      </c>
      <c r="D421" t="s">
        <v>4704</v>
      </c>
      <c r="E421" t="s">
        <v>4705</v>
      </c>
      <c r="F421" t="s">
        <v>3544</v>
      </c>
      <c r="G421" t="s">
        <v>4739</v>
      </c>
    </row>
    <row r="422" spans="1:7" ht="11.25" customHeight="1">
      <c r="A422" t="s">
        <v>16</v>
      </c>
      <c r="B422" t="s">
        <v>4704</v>
      </c>
      <c r="C422" t="s">
        <v>4705</v>
      </c>
      <c r="D422" t="s">
        <v>4740</v>
      </c>
      <c r="E422" t="s">
        <v>4741</v>
      </c>
      <c r="F422" t="s">
        <v>3547</v>
      </c>
      <c r="G422" t="s">
        <v>4742</v>
      </c>
    </row>
    <row r="423" spans="1:7" ht="11.25" customHeight="1">
      <c r="A423" t="s">
        <v>16</v>
      </c>
      <c r="B423" t="s">
        <v>4704</v>
      </c>
      <c r="C423" t="s">
        <v>4705</v>
      </c>
      <c r="D423" t="s">
        <v>4743</v>
      </c>
      <c r="E423" t="s">
        <v>4744</v>
      </c>
      <c r="F423" t="s">
        <v>3547</v>
      </c>
      <c r="G423" t="s">
        <v>4745</v>
      </c>
    </row>
    <row r="424" spans="1:7" ht="11.25" customHeight="1">
      <c r="A424" t="s">
        <v>16</v>
      </c>
      <c r="B424" t="s">
        <v>4704</v>
      </c>
      <c r="C424" t="s">
        <v>4705</v>
      </c>
      <c r="D424" t="s">
        <v>4746</v>
      </c>
      <c r="E424" t="s">
        <v>4747</v>
      </c>
      <c r="F424" t="s">
        <v>3547</v>
      </c>
      <c r="G424" t="s">
        <v>4748</v>
      </c>
    </row>
    <row r="425" spans="1:7" ht="11.25" customHeight="1">
      <c r="A425" t="s">
        <v>16</v>
      </c>
      <c r="B425" t="s">
        <v>4704</v>
      </c>
      <c r="C425" t="s">
        <v>4705</v>
      </c>
      <c r="D425" t="s">
        <v>4214</v>
      </c>
      <c r="E425" t="s">
        <v>4749</v>
      </c>
      <c r="F425" t="s">
        <v>3547</v>
      </c>
      <c r="G425" t="s">
        <v>4750</v>
      </c>
    </row>
    <row r="426" spans="1:7" ht="11.25" customHeight="1">
      <c r="A426" t="s">
        <v>16</v>
      </c>
      <c r="B426" t="s">
        <v>4704</v>
      </c>
      <c r="C426" t="s">
        <v>4705</v>
      </c>
      <c r="D426" t="s">
        <v>4751</v>
      </c>
      <c r="E426" t="s">
        <v>4752</v>
      </c>
      <c r="F426" t="s">
        <v>3547</v>
      </c>
      <c r="G426" t="s">
        <v>4753</v>
      </c>
    </row>
    <row r="427" spans="1:7" ht="11.25" customHeight="1">
      <c r="A427" t="s">
        <v>16</v>
      </c>
      <c r="B427" t="s">
        <v>4704</v>
      </c>
      <c r="C427" t="s">
        <v>4705</v>
      </c>
      <c r="D427" t="s">
        <v>4754</v>
      </c>
      <c r="E427" t="s">
        <v>4755</v>
      </c>
      <c r="F427" t="s">
        <v>3547</v>
      </c>
      <c r="G427" t="s">
        <v>4756</v>
      </c>
    </row>
    <row r="428" spans="1:7" ht="11.25" customHeight="1">
      <c r="A428" t="s">
        <v>16</v>
      </c>
      <c r="B428" t="s">
        <v>4704</v>
      </c>
      <c r="C428" t="s">
        <v>4705</v>
      </c>
      <c r="D428" t="s">
        <v>4757</v>
      </c>
      <c r="E428" t="s">
        <v>4758</v>
      </c>
      <c r="F428" t="s">
        <v>3547</v>
      </c>
      <c r="G428" t="s">
        <v>4759</v>
      </c>
    </row>
    <row r="429" spans="1:7" ht="11.25" customHeight="1">
      <c r="A429" t="s">
        <v>16</v>
      </c>
      <c r="B429" t="s">
        <v>4704</v>
      </c>
      <c r="C429" t="s">
        <v>4705</v>
      </c>
      <c r="D429" t="s">
        <v>4760</v>
      </c>
      <c r="E429" t="s">
        <v>4761</v>
      </c>
      <c r="F429" t="s">
        <v>3547</v>
      </c>
      <c r="G429" t="s">
        <v>4762</v>
      </c>
    </row>
    <row r="430" spans="1:7" ht="11.25" customHeight="1">
      <c r="A430" t="s">
        <v>16</v>
      </c>
      <c r="B430" t="s">
        <v>4704</v>
      </c>
      <c r="C430" t="s">
        <v>4705</v>
      </c>
      <c r="D430" t="s">
        <v>4763</v>
      </c>
      <c r="E430" t="s">
        <v>4764</v>
      </c>
      <c r="F430" t="s">
        <v>3547</v>
      </c>
      <c r="G430" t="s">
        <v>4765</v>
      </c>
    </row>
    <row r="431" spans="1:7" ht="11.25" customHeight="1">
      <c r="A431" t="s">
        <v>16</v>
      </c>
      <c r="B431" t="s">
        <v>4704</v>
      </c>
      <c r="C431" t="s">
        <v>4705</v>
      </c>
      <c r="D431" t="s">
        <v>4766</v>
      </c>
      <c r="E431" t="s">
        <v>4767</v>
      </c>
      <c r="F431" t="s">
        <v>3547</v>
      </c>
      <c r="G431" t="s">
        <v>4768</v>
      </c>
    </row>
    <row r="432" spans="1:7" ht="11.25" customHeight="1">
      <c r="A432" t="s">
        <v>16</v>
      </c>
      <c r="B432" t="s">
        <v>4704</v>
      </c>
      <c r="C432" t="s">
        <v>4705</v>
      </c>
      <c r="D432" t="s">
        <v>3637</v>
      </c>
      <c r="E432" t="s">
        <v>4769</v>
      </c>
      <c r="F432" t="s">
        <v>3547</v>
      </c>
      <c r="G432" t="s">
        <v>4770</v>
      </c>
    </row>
    <row r="433" spans="1:7" ht="11.25" customHeight="1">
      <c r="A433" t="s">
        <v>16</v>
      </c>
      <c r="B433" t="s">
        <v>4704</v>
      </c>
      <c r="C433" t="s">
        <v>4705</v>
      </c>
      <c r="D433" t="s">
        <v>4771</v>
      </c>
      <c r="E433" t="s">
        <v>4772</v>
      </c>
      <c r="F433" t="s">
        <v>3547</v>
      </c>
      <c r="G433" t="s">
        <v>4773</v>
      </c>
    </row>
    <row r="434" spans="1:7" ht="11.25" customHeight="1">
      <c r="A434" t="s">
        <v>16</v>
      </c>
      <c r="B434" t="s">
        <v>4774</v>
      </c>
      <c r="C434" t="s">
        <v>4775</v>
      </c>
      <c r="D434" t="s">
        <v>4776</v>
      </c>
      <c r="E434" t="s">
        <v>4777</v>
      </c>
      <c r="F434" t="s">
        <v>3547</v>
      </c>
      <c r="G434" t="s">
        <v>4778</v>
      </c>
    </row>
    <row r="435" spans="1:7" ht="11.25" customHeight="1">
      <c r="A435" t="s">
        <v>16</v>
      </c>
      <c r="B435" t="s">
        <v>4774</v>
      </c>
      <c r="C435" t="s">
        <v>4775</v>
      </c>
      <c r="D435" t="s">
        <v>4779</v>
      </c>
      <c r="E435" t="s">
        <v>4780</v>
      </c>
      <c r="F435" t="s">
        <v>3547</v>
      </c>
      <c r="G435" t="s">
        <v>4781</v>
      </c>
    </row>
    <row r="436" spans="1:7" ht="11.25" customHeight="1">
      <c r="A436" t="s">
        <v>16</v>
      </c>
      <c r="B436" t="s">
        <v>4774</v>
      </c>
      <c r="C436" t="s">
        <v>4775</v>
      </c>
      <c r="D436" t="s">
        <v>4782</v>
      </c>
      <c r="E436" t="s">
        <v>4783</v>
      </c>
      <c r="F436" t="s">
        <v>3547</v>
      </c>
      <c r="G436" t="s">
        <v>4784</v>
      </c>
    </row>
    <row r="437" spans="1:7" ht="11.25" customHeight="1">
      <c r="A437" t="s">
        <v>16</v>
      </c>
      <c r="B437" t="s">
        <v>4774</v>
      </c>
      <c r="C437" t="s">
        <v>4775</v>
      </c>
      <c r="D437" t="s">
        <v>4785</v>
      </c>
      <c r="E437" t="s">
        <v>4786</v>
      </c>
      <c r="F437" t="s">
        <v>3547</v>
      </c>
      <c r="G437" t="s">
        <v>4787</v>
      </c>
    </row>
    <row r="438" spans="1:7" ht="11.25" customHeight="1">
      <c r="A438" t="s">
        <v>16</v>
      </c>
      <c r="B438" t="s">
        <v>4774</v>
      </c>
      <c r="C438" t="s">
        <v>4775</v>
      </c>
      <c r="D438" t="s">
        <v>4788</v>
      </c>
      <c r="E438" t="s">
        <v>4789</v>
      </c>
      <c r="F438" t="s">
        <v>3547</v>
      </c>
      <c r="G438" t="s">
        <v>4790</v>
      </c>
    </row>
    <row r="439" spans="1:7" ht="11.25" customHeight="1">
      <c r="A439" t="s">
        <v>16</v>
      </c>
      <c r="B439" t="s">
        <v>4774</v>
      </c>
      <c r="C439" t="s">
        <v>4775</v>
      </c>
      <c r="D439" t="s">
        <v>4791</v>
      </c>
      <c r="E439" t="s">
        <v>4792</v>
      </c>
      <c r="F439" t="s">
        <v>3547</v>
      </c>
      <c r="G439" t="s">
        <v>4793</v>
      </c>
    </row>
    <row r="440" spans="1:7" ht="11.25" customHeight="1">
      <c r="A440" t="s">
        <v>16</v>
      </c>
      <c r="B440" t="s">
        <v>4774</v>
      </c>
      <c r="C440" t="s">
        <v>4775</v>
      </c>
      <c r="D440" t="s">
        <v>4794</v>
      </c>
      <c r="E440" t="s">
        <v>4795</v>
      </c>
      <c r="F440" t="s">
        <v>3547</v>
      </c>
      <c r="G440" t="s">
        <v>4796</v>
      </c>
    </row>
    <row r="441" spans="1:7" ht="11.25" customHeight="1">
      <c r="A441" t="s">
        <v>16</v>
      </c>
      <c r="B441" t="s">
        <v>4774</v>
      </c>
      <c r="C441" t="s">
        <v>4775</v>
      </c>
      <c r="D441" t="s">
        <v>4797</v>
      </c>
      <c r="E441" t="s">
        <v>4798</v>
      </c>
      <c r="F441" t="s">
        <v>3547</v>
      </c>
      <c r="G441" t="s">
        <v>4799</v>
      </c>
    </row>
    <row r="442" spans="1:7" ht="11.25" customHeight="1">
      <c r="A442" t="s">
        <v>16</v>
      </c>
      <c r="B442" t="s">
        <v>4774</v>
      </c>
      <c r="C442" t="s">
        <v>4775</v>
      </c>
      <c r="D442" t="s">
        <v>4800</v>
      </c>
      <c r="E442" t="s">
        <v>4801</v>
      </c>
      <c r="F442" t="s">
        <v>3552</v>
      </c>
      <c r="G442" t="s">
        <v>4802</v>
      </c>
    </row>
    <row r="443" spans="1:7" ht="11.25" customHeight="1">
      <c r="A443" t="s">
        <v>16</v>
      </c>
      <c r="B443" t="s">
        <v>4774</v>
      </c>
      <c r="C443" t="s">
        <v>4775</v>
      </c>
      <c r="D443" t="s">
        <v>4774</v>
      </c>
      <c r="E443" t="s">
        <v>4775</v>
      </c>
      <c r="F443" t="s">
        <v>3544</v>
      </c>
      <c r="G443" t="s">
        <v>4803</v>
      </c>
    </row>
    <row r="444" spans="1:7" ht="11.25" customHeight="1">
      <c r="A444" t="s">
        <v>16</v>
      </c>
      <c r="B444" t="s">
        <v>4774</v>
      </c>
      <c r="C444" t="s">
        <v>4775</v>
      </c>
      <c r="D444" t="s">
        <v>4804</v>
      </c>
      <c r="E444" t="s">
        <v>4805</v>
      </c>
      <c r="F444" t="s">
        <v>3547</v>
      </c>
      <c r="G444" t="s">
        <v>4806</v>
      </c>
    </row>
    <row r="445" spans="1:7" ht="11.25" customHeight="1">
      <c r="A445" t="s">
        <v>16</v>
      </c>
      <c r="B445" t="s">
        <v>4774</v>
      </c>
      <c r="C445" t="s">
        <v>4775</v>
      </c>
      <c r="D445" t="s">
        <v>4807</v>
      </c>
      <c r="E445" t="s">
        <v>4808</v>
      </c>
      <c r="F445" t="s">
        <v>3547</v>
      </c>
      <c r="G445" t="s">
        <v>4809</v>
      </c>
    </row>
    <row r="446" spans="1:7" ht="11.25" customHeight="1">
      <c r="A446" t="s">
        <v>16</v>
      </c>
      <c r="B446" t="s">
        <v>4774</v>
      </c>
      <c r="C446" t="s">
        <v>4775</v>
      </c>
      <c r="D446" t="s">
        <v>4810</v>
      </c>
      <c r="E446" t="s">
        <v>4811</v>
      </c>
      <c r="F446" t="s">
        <v>3547</v>
      </c>
      <c r="G446" t="s">
        <v>4812</v>
      </c>
    </row>
    <row r="447" spans="1:7" ht="11.25" customHeight="1">
      <c r="A447" t="s">
        <v>16</v>
      </c>
      <c r="B447" t="s">
        <v>4774</v>
      </c>
      <c r="C447" t="s">
        <v>4775</v>
      </c>
      <c r="D447" t="s">
        <v>4813</v>
      </c>
      <c r="E447" t="s">
        <v>4814</v>
      </c>
      <c r="F447" t="s">
        <v>3547</v>
      </c>
      <c r="G447" t="s">
        <v>4815</v>
      </c>
    </row>
    <row r="448" spans="1:7" ht="11.25" customHeight="1">
      <c r="A448" t="s">
        <v>16</v>
      </c>
      <c r="B448" t="s">
        <v>4774</v>
      </c>
      <c r="C448" t="s">
        <v>4775</v>
      </c>
      <c r="D448" t="s">
        <v>4816</v>
      </c>
      <c r="E448" t="s">
        <v>4817</v>
      </c>
      <c r="F448" t="s">
        <v>3547</v>
      </c>
      <c r="G448" t="s">
        <v>4818</v>
      </c>
    </row>
    <row r="449" spans="1:7" ht="11.25" customHeight="1">
      <c r="A449" t="s">
        <v>16</v>
      </c>
      <c r="B449" t="s">
        <v>4774</v>
      </c>
      <c r="C449" t="s">
        <v>4775</v>
      </c>
      <c r="D449" t="s">
        <v>4819</v>
      </c>
      <c r="E449" t="s">
        <v>4820</v>
      </c>
      <c r="F449" t="s">
        <v>3547</v>
      </c>
      <c r="G449" t="s">
        <v>4821</v>
      </c>
    </row>
    <row r="450" spans="1:7" ht="11.25" customHeight="1">
      <c r="A450" t="s">
        <v>16</v>
      </c>
      <c r="B450" t="s">
        <v>4774</v>
      </c>
      <c r="C450" t="s">
        <v>4775</v>
      </c>
      <c r="D450" t="s">
        <v>4414</v>
      </c>
      <c r="E450" t="s">
        <v>4822</v>
      </c>
      <c r="F450" t="s">
        <v>3547</v>
      </c>
      <c r="G450" t="s">
        <v>4823</v>
      </c>
    </row>
    <row r="451" spans="1:7" ht="11.25" customHeight="1">
      <c r="A451" t="s">
        <v>16</v>
      </c>
      <c r="B451" t="s">
        <v>4774</v>
      </c>
      <c r="C451" t="s">
        <v>4775</v>
      </c>
      <c r="D451" t="s">
        <v>4491</v>
      </c>
      <c r="E451" t="s">
        <v>4824</v>
      </c>
      <c r="F451" t="s">
        <v>3547</v>
      </c>
      <c r="G451" t="s">
        <v>4825</v>
      </c>
    </row>
    <row r="452" spans="1:7" ht="11.25" customHeight="1">
      <c r="A452" t="s">
        <v>16</v>
      </c>
      <c r="B452" t="s">
        <v>4774</v>
      </c>
      <c r="C452" t="s">
        <v>4775</v>
      </c>
      <c r="D452" t="s">
        <v>4826</v>
      </c>
      <c r="E452" t="s">
        <v>4827</v>
      </c>
      <c r="F452" t="s">
        <v>3547</v>
      </c>
      <c r="G452" t="s">
        <v>4828</v>
      </c>
    </row>
    <row r="453" spans="1:7" ht="11.25" customHeight="1">
      <c r="A453" t="s">
        <v>16</v>
      </c>
      <c r="B453" t="s">
        <v>4774</v>
      </c>
      <c r="C453" t="s">
        <v>4775</v>
      </c>
      <c r="D453" t="s">
        <v>4829</v>
      </c>
      <c r="E453" t="s">
        <v>4830</v>
      </c>
      <c r="F453" t="s">
        <v>3547</v>
      </c>
      <c r="G453" t="s">
        <v>4831</v>
      </c>
    </row>
    <row r="454" spans="1:7" ht="11.25" customHeight="1">
      <c r="A454" t="s">
        <v>16</v>
      </c>
      <c r="B454" t="s">
        <v>4774</v>
      </c>
      <c r="C454" t="s">
        <v>4775</v>
      </c>
      <c r="D454" t="s">
        <v>4832</v>
      </c>
      <c r="E454" t="s">
        <v>4833</v>
      </c>
      <c r="F454" t="s">
        <v>3547</v>
      </c>
      <c r="G454" t="s">
        <v>4834</v>
      </c>
    </row>
    <row r="455" spans="1:7" ht="11.25" customHeight="1">
      <c r="A455" t="s">
        <v>16</v>
      </c>
      <c r="B455" t="s">
        <v>4774</v>
      </c>
      <c r="C455" t="s">
        <v>4775</v>
      </c>
      <c r="D455" t="s">
        <v>4835</v>
      </c>
      <c r="E455" t="s">
        <v>4836</v>
      </c>
      <c r="F455" t="s">
        <v>3547</v>
      </c>
      <c r="G455" t="s">
        <v>4837</v>
      </c>
    </row>
    <row r="456" spans="1:7" ht="11.25" customHeight="1">
      <c r="A456" t="s">
        <v>16</v>
      </c>
      <c r="B456" t="s">
        <v>4774</v>
      </c>
      <c r="C456" t="s">
        <v>4775</v>
      </c>
      <c r="D456" t="s">
        <v>4838</v>
      </c>
      <c r="E456" t="s">
        <v>4839</v>
      </c>
      <c r="F456" t="s">
        <v>3547</v>
      </c>
      <c r="G456" t="s">
        <v>4840</v>
      </c>
    </row>
    <row r="457" spans="1:7" ht="11.25" customHeight="1">
      <c r="A457" t="s">
        <v>16</v>
      </c>
      <c r="B457" t="s">
        <v>4774</v>
      </c>
      <c r="C457" t="s">
        <v>4775</v>
      </c>
      <c r="D457" t="s">
        <v>4841</v>
      </c>
      <c r="E457" t="s">
        <v>4842</v>
      </c>
      <c r="F457" t="s">
        <v>3649</v>
      </c>
      <c r="G457" t="s">
        <v>4843</v>
      </c>
    </row>
    <row r="458" spans="1:7" ht="11.25" customHeight="1">
      <c r="A458" t="s">
        <v>16</v>
      </c>
      <c r="B458" t="s">
        <v>4774</v>
      </c>
      <c r="C458" t="s">
        <v>4775</v>
      </c>
      <c r="D458" t="s">
        <v>4844</v>
      </c>
      <c r="E458" t="s">
        <v>4845</v>
      </c>
      <c r="F458" t="s">
        <v>3649</v>
      </c>
      <c r="G458" t="s">
        <v>4846</v>
      </c>
    </row>
    <row r="459" spans="1:7" ht="11.25" customHeight="1">
      <c r="A459" t="s">
        <v>16</v>
      </c>
      <c r="B459" t="s">
        <v>4847</v>
      </c>
      <c r="C459" t="s">
        <v>4848</v>
      </c>
      <c r="D459" t="s">
        <v>4849</v>
      </c>
      <c r="E459" t="s">
        <v>4850</v>
      </c>
      <c r="F459" t="s">
        <v>3547</v>
      </c>
      <c r="G459" t="s">
        <v>4851</v>
      </c>
    </row>
    <row r="460" spans="1:7" ht="11.25" customHeight="1">
      <c r="A460" t="s">
        <v>16</v>
      </c>
      <c r="B460" t="s">
        <v>4847</v>
      </c>
      <c r="C460" t="s">
        <v>4848</v>
      </c>
      <c r="D460" t="s">
        <v>4852</v>
      </c>
      <c r="E460" t="s">
        <v>4853</v>
      </c>
      <c r="F460" t="s">
        <v>3547</v>
      </c>
      <c r="G460" t="s">
        <v>4854</v>
      </c>
    </row>
    <row r="461" spans="1:7" ht="11.25" customHeight="1">
      <c r="A461" t="s">
        <v>16</v>
      </c>
      <c r="B461" t="s">
        <v>4847</v>
      </c>
      <c r="C461" t="s">
        <v>4848</v>
      </c>
      <c r="D461" t="s">
        <v>4855</v>
      </c>
      <c r="E461" t="s">
        <v>4856</v>
      </c>
      <c r="F461" t="s">
        <v>3547</v>
      </c>
      <c r="G461" t="s">
        <v>4857</v>
      </c>
    </row>
    <row r="462" spans="1:7" ht="11.25" customHeight="1">
      <c r="A462" t="s">
        <v>16</v>
      </c>
      <c r="B462" t="s">
        <v>4847</v>
      </c>
      <c r="C462" t="s">
        <v>4848</v>
      </c>
      <c r="D462" t="s">
        <v>4858</v>
      </c>
      <c r="E462" t="s">
        <v>4859</v>
      </c>
      <c r="F462" t="s">
        <v>3547</v>
      </c>
      <c r="G462" t="s">
        <v>4860</v>
      </c>
    </row>
    <row r="463" spans="1:7" ht="11.25" customHeight="1">
      <c r="A463" t="s">
        <v>16</v>
      </c>
      <c r="B463" t="s">
        <v>4847</v>
      </c>
      <c r="C463" t="s">
        <v>4848</v>
      </c>
      <c r="D463" t="s">
        <v>4861</v>
      </c>
      <c r="E463" t="s">
        <v>4862</v>
      </c>
      <c r="F463" t="s">
        <v>3547</v>
      </c>
      <c r="G463" t="s">
        <v>4863</v>
      </c>
    </row>
    <row r="464" spans="1:7" ht="11.25" customHeight="1">
      <c r="A464" t="s">
        <v>16</v>
      </c>
      <c r="B464" t="s">
        <v>4847</v>
      </c>
      <c r="C464" t="s">
        <v>4848</v>
      </c>
      <c r="D464" t="s">
        <v>4847</v>
      </c>
      <c r="E464" t="s">
        <v>4848</v>
      </c>
      <c r="F464" t="s">
        <v>3544</v>
      </c>
      <c r="G464" t="s">
        <v>4864</v>
      </c>
    </row>
    <row r="465" spans="1:7" ht="11.25" customHeight="1">
      <c r="A465" t="s">
        <v>16</v>
      </c>
      <c r="B465" t="s">
        <v>4847</v>
      </c>
      <c r="C465" t="s">
        <v>4848</v>
      </c>
      <c r="D465" t="s">
        <v>4865</v>
      </c>
      <c r="E465" t="s">
        <v>4866</v>
      </c>
      <c r="F465" t="s">
        <v>3547</v>
      </c>
      <c r="G465" t="s">
        <v>4867</v>
      </c>
    </row>
    <row r="466" spans="1:7" ht="11.25" customHeight="1">
      <c r="A466" t="s">
        <v>16</v>
      </c>
      <c r="B466" t="s">
        <v>4847</v>
      </c>
      <c r="C466" t="s">
        <v>4848</v>
      </c>
      <c r="D466" t="s">
        <v>4868</v>
      </c>
      <c r="E466" t="s">
        <v>4869</v>
      </c>
      <c r="F466" t="s">
        <v>3547</v>
      </c>
      <c r="G466" t="s">
        <v>4870</v>
      </c>
    </row>
    <row r="467" spans="1:7" ht="11.25" customHeight="1">
      <c r="A467" t="s">
        <v>16</v>
      </c>
      <c r="B467" t="s">
        <v>4847</v>
      </c>
      <c r="C467" t="s">
        <v>4848</v>
      </c>
      <c r="D467" t="s">
        <v>4871</v>
      </c>
      <c r="E467" t="s">
        <v>4872</v>
      </c>
      <c r="F467" t="s">
        <v>3547</v>
      </c>
      <c r="G467" t="s">
        <v>4873</v>
      </c>
    </row>
    <row r="468" spans="1:7" ht="11.25" customHeight="1">
      <c r="A468" t="s">
        <v>16</v>
      </c>
      <c r="B468" t="s">
        <v>4847</v>
      </c>
      <c r="C468" t="s">
        <v>4848</v>
      </c>
      <c r="D468" t="s">
        <v>4874</v>
      </c>
      <c r="E468" t="s">
        <v>4875</v>
      </c>
      <c r="F468" t="s">
        <v>3547</v>
      </c>
      <c r="G468" t="s">
        <v>4876</v>
      </c>
    </row>
    <row r="469" spans="1:7" ht="11.25" customHeight="1">
      <c r="A469" t="s">
        <v>16</v>
      </c>
      <c r="B469" t="s">
        <v>4847</v>
      </c>
      <c r="C469" t="s">
        <v>4848</v>
      </c>
      <c r="D469" t="s">
        <v>4877</v>
      </c>
      <c r="E469" t="s">
        <v>4878</v>
      </c>
      <c r="F469" t="s">
        <v>3547</v>
      </c>
      <c r="G469" t="s">
        <v>4879</v>
      </c>
    </row>
    <row r="470" spans="1:7" ht="11.25" customHeight="1">
      <c r="A470" t="s">
        <v>16</v>
      </c>
      <c r="B470" t="s">
        <v>4847</v>
      </c>
      <c r="C470" t="s">
        <v>4848</v>
      </c>
      <c r="D470" t="s">
        <v>4880</v>
      </c>
      <c r="E470" t="s">
        <v>4881</v>
      </c>
      <c r="F470" t="s">
        <v>3547</v>
      </c>
      <c r="G470" t="s">
        <v>4882</v>
      </c>
    </row>
    <row r="471" spans="1:7" ht="11.25" customHeight="1">
      <c r="A471" t="s">
        <v>16</v>
      </c>
      <c r="B471" t="s">
        <v>4847</v>
      </c>
      <c r="C471" t="s">
        <v>4848</v>
      </c>
      <c r="D471" t="s">
        <v>4883</v>
      </c>
      <c r="E471" t="s">
        <v>4884</v>
      </c>
      <c r="F471" t="s">
        <v>3547</v>
      </c>
      <c r="G471" t="s">
        <v>4885</v>
      </c>
    </row>
    <row r="472" spans="1:7" ht="11.25" customHeight="1">
      <c r="A472" t="s">
        <v>16</v>
      </c>
      <c r="B472" t="s">
        <v>4847</v>
      </c>
      <c r="C472" t="s">
        <v>4848</v>
      </c>
      <c r="D472" t="s">
        <v>4886</v>
      </c>
      <c r="E472" t="s">
        <v>4887</v>
      </c>
      <c r="F472" t="s">
        <v>3547</v>
      </c>
      <c r="G472" t="s">
        <v>4888</v>
      </c>
    </row>
    <row r="473" spans="1:7" ht="11.25" customHeight="1">
      <c r="A473" t="s">
        <v>16</v>
      </c>
      <c r="B473" t="s">
        <v>4847</v>
      </c>
      <c r="C473" t="s">
        <v>4848</v>
      </c>
      <c r="D473" t="s">
        <v>4889</v>
      </c>
      <c r="E473" t="s">
        <v>4890</v>
      </c>
      <c r="F473" t="s">
        <v>3547</v>
      </c>
      <c r="G473" t="s">
        <v>4891</v>
      </c>
    </row>
    <row r="474" spans="1:7" ht="11.25" customHeight="1">
      <c r="A474" t="s">
        <v>16</v>
      </c>
      <c r="B474" t="s">
        <v>4847</v>
      </c>
      <c r="C474" t="s">
        <v>4848</v>
      </c>
      <c r="D474" t="s">
        <v>4892</v>
      </c>
      <c r="E474" t="s">
        <v>4893</v>
      </c>
      <c r="F474" t="s">
        <v>3547</v>
      </c>
      <c r="G474" t="s">
        <v>4894</v>
      </c>
    </row>
    <row r="475" spans="1:7" ht="11.25" customHeight="1">
      <c r="A475" t="s">
        <v>16</v>
      </c>
      <c r="B475" t="s">
        <v>4847</v>
      </c>
      <c r="C475" t="s">
        <v>4848</v>
      </c>
      <c r="D475" t="s">
        <v>4895</v>
      </c>
      <c r="E475" t="s">
        <v>4896</v>
      </c>
      <c r="F475" t="s">
        <v>3547</v>
      </c>
      <c r="G475" t="s">
        <v>4897</v>
      </c>
    </row>
    <row r="476" spans="1:7" ht="11.25" customHeight="1">
      <c r="A476" t="s">
        <v>16</v>
      </c>
      <c r="B476" t="s">
        <v>4847</v>
      </c>
      <c r="C476" t="s">
        <v>4848</v>
      </c>
      <c r="D476" t="s">
        <v>4898</v>
      </c>
      <c r="E476" t="s">
        <v>4899</v>
      </c>
      <c r="F476" t="s">
        <v>3547</v>
      </c>
      <c r="G476" t="s">
        <v>4900</v>
      </c>
    </row>
    <row r="477" spans="1:7" ht="11.25" customHeight="1">
      <c r="A477" t="s">
        <v>16</v>
      </c>
      <c r="B477" t="s">
        <v>4901</v>
      </c>
      <c r="C477" t="s">
        <v>4902</v>
      </c>
      <c r="D477" t="s">
        <v>3599</v>
      </c>
      <c r="E477" t="s">
        <v>4903</v>
      </c>
      <c r="F477" t="s">
        <v>3547</v>
      </c>
      <c r="G477" t="s">
        <v>4904</v>
      </c>
    </row>
    <row r="478" spans="1:7" ht="11.25" customHeight="1">
      <c r="A478" t="s">
        <v>16</v>
      </c>
      <c r="B478" t="s">
        <v>4901</v>
      </c>
      <c r="C478" t="s">
        <v>4902</v>
      </c>
      <c r="D478" t="s">
        <v>4905</v>
      </c>
      <c r="E478" t="s">
        <v>4906</v>
      </c>
      <c r="F478" t="s">
        <v>3547</v>
      </c>
      <c r="G478" t="s">
        <v>4907</v>
      </c>
    </row>
    <row r="479" spans="1:7" ht="11.25" customHeight="1">
      <c r="A479" t="s">
        <v>16</v>
      </c>
      <c r="B479" t="s">
        <v>4901</v>
      </c>
      <c r="C479" t="s">
        <v>4902</v>
      </c>
      <c r="D479" t="s">
        <v>4908</v>
      </c>
      <c r="E479" t="s">
        <v>4909</v>
      </c>
      <c r="F479" t="s">
        <v>3547</v>
      </c>
      <c r="G479" t="s">
        <v>4910</v>
      </c>
    </row>
    <row r="480" spans="1:7" ht="11.25" customHeight="1">
      <c r="A480" t="s">
        <v>16</v>
      </c>
      <c r="B480" t="s">
        <v>4901</v>
      </c>
      <c r="C480" t="s">
        <v>4902</v>
      </c>
      <c r="D480" t="s">
        <v>4911</v>
      </c>
      <c r="E480" t="s">
        <v>4912</v>
      </c>
      <c r="F480" t="s">
        <v>3547</v>
      </c>
      <c r="G480" t="s">
        <v>4913</v>
      </c>
    </row>
    <row r="481" spans="1:7" ht="11.25" customHeight="1">
      <c r="A481" t="s">
        <v>16</v>
      </c>
      <c r="B481" t="s">
        <v>4901</v>
      </c>
      <c r="C481" t="s">
        <v>4902</v>
      </c>
      <c r="D481" t="s">
        <v>4914</v>
      </c>
      <c r="E481" t="s">
        <v>4915</v>
      </c>
      <c r="F481" t="s">
        <v>3547</v>
      </c>
      <c r="G481" t="s">
        <v>4916</v>
      </c>
    </row>
    <row r="482" spans="1:7" ht="11.25" customHeight="1">
      <c r="A482" t="s">
        <v>16</v>
      </c>
      <c r="B482" t="s">
        <v>4901</v>
      </c>
      <c r="C482" t="s">
        <v>4902</v>
      </c>
      <c r="D482" t="s">
        <v>4917</v>
      </c>
      <c r="E482" t="s">
        <v>4918</v>
      </c>
      <c r="F482" t="s">
        <v>3547</v>
      </c>
      <c r="G482" t="s">
        <v>4919</v>
      </c>
    </row>
    <row r="483" spans="1:7" ht="11.25" customHeight="1">
      <c r="A483" t="s">
        <v>16</v>
      </c>
      <c r="B483" t="s">
        <v>4901</v>
      </c>
      <c r="C483" t="s">
        <v>4902</v>
      </c>
      <c r="D483" t="s">
        <v>4901</v>
      </c>
      <c r="E483" t="s">
        <v>4902</v>
      </c>
      <c r="F483" t="s">
        <v>3544</v>
      </c>
      <c r="G483" t="s">
        <v>4920</v>
      </c>
    </row>
    <row r="484" spans="1:7" ht="11.25" customHeight="1">
      <c r="A484" t="s">
        <v>16</v>
      </c>
      <c r="B484" t="s">
        <v>4901</v>
      </c>
      <c r="C484" t="s">
        <v>4902</v>
      </c>
      <c r="D484" t="s">
        <v>4921</v>
      </c>
      <c r="E484" t="s">
        <v>4922</v>
      </c>
      <c r="F484" t="s">
        <v>3547</v>
      </c>
      <c r="G484" t="s">
        <v>4923</v>
      </c>
    </row>
    <row r="485" spans="1:7" ht="11.25" customHeight="1">
      <c r="A485" t="s">
        <v>16</v>
      </c>
      <c r="B485" t="s">
        <v>4901</v>
      </c>
      <c r="C485" t="s">
        <v>4902</v>
      </c>
      <c r="D485" t="s">
        <v>4924</v>
      </c>
      <c r="E485" t="s">
        <v>4925</v>
      </c>
      <c r="F485" t="s">
        <v>3547</v>
      </c>
      <c r="G485" t="s">
        <v>4926</v>
      </c>
    </row>
    <row r="486" spans="1:7" ht="11.25" customHeight="1">
      <c r="A486" t="s">
        <v>16</v>
      </c>
      <c r="B486" t="s">
        <v>4901</v>
      </c>
      <c r="C486" t="s">
        <v>4902</v>
      </c>
      <c r="D486" t="s">
        <v>4927</v>
      </c>
      <c r="E486" t="s">
        <v>4928</v>
      </c>
      <c r="F486" t="s">
        <v>3547</v>
      </c>
      <c r="G486" t="s">
        <v>4929</v>
      </c>
    </row>
    <row r="487" spans="1:7" ht="11.25" customHeight="1">
      <c r="A487" t="s">
        <v>16</v>
      </c>
      <c r="B487" t="s">
        <v>4901</v>
      </c>
      <c r="C487" t="s">
        <v>4902</v>
      </c>
      <c r="D487" t="s">
        <v>4930</v>
      </c>
      <c r="E487" t="s">
        <v>4931</v>
      </c>
      <c r="F487" t="s">
        <v>3547</v>
      </c>
      <c r="G487" t="s">
        <v>4932</v>
      </c>
    </row>
    <row r="488" spans="1:7" ht="11.25" customHeight="1">
      <c r="A488" t="s">
        <v>16</v>
      </c>
      <c r="B488" t="s">
        <v>4901</v>
      </c>
      <c r="C488" t="s">
        <v>4902</v>
      </c>
      <c r="D488" t="s">
        <v>4933</v>
      </c>
      <c r="E488" t="s">
        <v>4934</v>
      </c>
      <c r="F488" t="s">
        <v>3547</v>
      </c>
      <c r="G488" t="s">
        <v>4935</v>
      </c>
    </row>
    <row r="489" spans="1:7" ht="11.25" customHeight="1">
      <c r="A489" t="s">
        <v>16</v>
      </c>
      <c r="B489" t="s">
        <v>4901</v>
      </c>
      <c r="C489" t="s">
        <v>4902</v>
      </c>
      <c r="D489" t="s">
        <v>4936</v>
      </c>
      <c r="E489" t="s">
        <v>4937</v>
      </c>
      <c r="F489" t="s">
        <v>3547</v>
      </c>
      <c r="G489" t="s">
        <v>4938</v>
      </c>
    </row>
    <row r="490" spans="1:7" ht="11.25" customHeight="1">
      <c r="A490" t="s">
        <v>16</v>
      </c>
      <c r="B490" t="s">
        <v>4901</v>
      </c>
      <c r="C490" t="s">
        <v>4902</v>
      </c>
      <c r="D490" t="s">
        <v>4939</v>
      </c>
      <c r="E490" t="s">
        <v>4940</v>
      </c>
      <c r="F490" t="s">
        <v>3547</v>
      </c>
      <c r="G490" t="s">
        <v>4941</v>
      </c>
    </row>
    <row r="491" spans="1:7" ht="11.25" customHeight="1">
      <c r="A491" t="s">
        <v>16</v>
      </c>
      <c r="B491" t="s">
        <v>4901</v>
      </c>
      <c r="C491" t="s">
        <v>4902</v>
      </c>
      <c r="D491" t="s">
        <v>4942</v>
      </c>
      <c r="E491" t="s">
        <v>4943</v>
      </c>
      <c r="F491" t="s">
        <v>3547</v>
      </c>
      <c r="G491" t="s">
        <v>4944</v>
      </c>
    </row>
    <row r="492" spans="1:7" ht="11.25" customHeight="1">
      <c r="A492" t="s">
        <v>16</v>
      </c>
      <c r="B492" t="s">
        <v>4901</v>
      </c>
      <c r="C492" t="s">
        <v>4902</v>
      </c>
      <c r="D492" t="s">
        <v>4945</v>
      </c>
      <c r="E492" t="s">
        <v>4946</v>
      </c>
      <c r="F492" t="s">
        <v>3547</v>
      </c>
      <c r="G492" t="s">
        <v>4947</v>
      </c>
    </row>
    <row r="493" spans="1:7" ht="11.25" customHeight="1">
      <c r="A493" t="s">
        <v>16</v>
      </c>
      <c r="B493" t="s">
        <v>4901</v>
      </c>
      <c r="C493" t="s">
        <v>4902</v>
      </c>
      <c r="D493" t="s">
        <v>4948</v>
      </c>
      <c r="E493" t="s">
        <v>4949</v>
      </c>
      <c r="F493" t="s">
        <v>3547</v>
      </c>
      <c r="G493" t="s">
        <v>4950</v>
      </c>
    </row>
    <row r="494" spans="1:7" ht="11.25" customHeight="1">
      <c r="A494" t="s">
        <v>16</v>
      </c>
      <c r="B494" t="s">
        <v>4901</v>
      </c>
      <c r="C494" t="s">
        <v>4902</v>
      </c>
      <c r="D494" t="s">
        <v>4951</v>
      </c>
      <c r="E494" t="s">
        <v>4952</v>
      </c>
      <c r="F494" t="s">
        <v>3547</v>
      </c>
      <c r="G494" t="s">
        <v>4953</v>
      </c>
    </row>
    <row r="495" spans="1:7" ht="11.25" customHeight="1">
      <c r="A495" t="s">
        <v>16</v>
      </c>
      <c r="B495" t="s">
        <v>4901</v>
      </c>
      <c r="C495" t="s">
        <v>4902</v>
      </c>
      <c r="D495" t="s">
        <v>4954</v>
      </c>
      <c r="E495" t="s">
        <v>4955</v>
      </c>
      <c r="F495" t="s">
        <v>3649</v>
      </c>
      <c r="G495" t="s">
        <v>4956</v>
      </c>
    </row>
    <row r="496" spans="1:7" ht="11.25" customHeight="1">
      <c r="A496" t="s">
        <v>16</v>
      </c>
      <c r="B496" t="s">
        <v>4901</v>
      </c>
      <c r="C496" t="s">
        <v>4902</v>
      </c>
      <c r="D496" t="s">
        <v>4957</v>
      </c>
      <c r="E496" t="s">
        <v>4958</v>
      </c>
      <c r="F496" t="s">
        <v>3649</v>
      </c>
      <c r="G496" t="s">
        <v>4959</v>
      </c>
    </row>
    <row r="497" spans="1:7" ht="11.25" customHeight="1">
      <c r="A497" t="s">
        <v>16</v>
      </c>
      <c r="B497" t="s">
        <v>4901</v>
      </c>
      <c r="C497" t="s">
        <v>4902</v>
      </c>
      <c r="D497" t="s">
        <v>4960</v>
      </c>
      <c r="E497" t="s">
        <v>4961</v>
      </c>
      <c r="F497" t="s">
        <v>3649</v>
      </c>
      <c r="G497" t="s">
        <v>4962</v>
      </c>
    </row>
    <row r="498" spans="1:7" ht="11.25" customHeight="1">
      <c r="A498" t="s">
        <v>16</v>
      </c>
      <c r="B498" t="s">
        <v>100</v>
      </c>
      <c r="C498" t="s">
        <v>4963</v>
      </c>
      <c r="D498" t="s">
        <v>4964</v>
      </c>
      <c r="E498" t="s">
        <v>4965</v>
      </c>
      <c r="F498" t="s">
        <v>3547</v>
      </c>
      <c r="G498" t="s">
        <v>4966</v>
      </c>
    </row>
    <row r="499" spans="1:7" ht="11.25" customHeight="1">
      <c r="A499" t="s">
        <v>16</v>
      </c>
      <c r="B499" t="s">
        <v>100</v>
      </c>
      <c r="C499" t="s">
        <v>4963</v>
      </c>
      <c r="D499" t="s">
        <v>4967</v>
      </c>
      <c r="E499" t="s">
        <v>4968</v>
      </c>
      <c r="F499" t="s">
        <v>3547</v>
      </c>
      <c r="G499" t="s">
        <v>4969</v>
      </c>
    </row>
    <row r="500" spans="1:7" ht="11.25" customHeight="1">
      <c r="A500" t="s">
        <v>16</v>
      </c>
      <c r="B500" t="s">
        <v>100</v>
      </c>
      <c r="C500" t="s">
        <v>4963</v>
      </c>
      <c r="D500" t="s">
        <v>4970</v>
      </c>
      <c r="E500" t="s">
        <v>4971</v>
      </c>
      <c r="F500" t="s">
        <v>3547</v>
      </c>
      <c r="G500" t="s">
        <v>4972</v>
      </c>
    </row>
    <row r="501" spans="1:7" ht="11.25" customHeight="1">
      <c r="A501" t="s">
        <v>16</v>
      </c>
      <c r="B501" t="s">
        <v>100</v>
      </c>
      <c r="C501" t="s">
        <v>4963</v>
      </c>
      <c r="D501" t="s">
        <v>4973</v>
      </c>
      <c r="E501" t="s">
        <v>4974</v>
      </c>
      <c r="F501" t="s">
        <v>3547</v>
      </c>
      <c r="G501" t="s">
        <v>4975</v>
      </c>
    </row>
    <row r="502" spans="1:7" ht="11.25" customHeight="1">
      <c r="A502" t="s">
        <v>16</v>
      </c>
      <c r="B502" t="s">
        <v>100</v>
      </c>
      <c r="C502" t="s">
        <v>4963</v>
      </c>
      <c r="D502" t="s">
        <v>4976</v>
      </c>
      <c r="E502" t="s">
        <v>4977</v>
      </c>
      <c r="F502" t="s">
        <v>3547</v>
      </c>
      <c r="G502" t="s">
        <v>4978</v>
      </c>
    </row>
    <row r="503" spans="1:7" ht="11.25" customHeight="1">
      <c r="A503" t="s">
        <v>16</v>
      </c>
      <c r="B503" t="s">
        <v>100</v>
      </c>
      <c r="C503" t="s">
        <v>4963</v>
      </c>
      <c r="D503" t="s">
        <v>4979</v>
      </c>
      <c r="E503" t="s">
        <v>4980</v>
      </c>
      <c r="F503" t="s">
        <v>3547</v>
      </c>
      <c r="G503" t="s">
        <v>4981</v>
      </c>
    </row>
    <row r="504" spans="1:7" ht="11.25" customHeight="1">
      <c r="A504" t="s">
        <v>16</v>
      </c>
      <c r="B504" t="s">
        <v>100</v>
      </c>
      <c r="C504" t="s">
        <v>4963</v>
      </c>
      <c r="D504" t="s">
        <v>4982</v>
      </c>
      <c r="E504" t="s">
        <v>4983</v>
      </c>
      <c r="F504" t="s">
        <v>3547</v>
      </c>
      <c r="G504" t="s">
        <v>4984</v>
      </c>
    </row>
    <row r="505" spans="1:7" ht="11.25" customHeight="1">
      <c r="A505" t="s">
        <v>16</v>
      </c>
      <c r="B505" t="s">
        <v>100</v>
      </c>
      <c r="C505" t="s">
        <v>4963</v>
      </c>
      <c r="D505" t="s">
        <v>3868</v>
      </c>
      <c r="E505" t="s">
        <v>4985</v>
      </c>
      <c r="F505" t="s">
        <v>3547</v>
      </c>
      <c r="G505" t="s">
        <v>4986</v>
      </c>
    </row>
    <row r="506" spans="1:7" ht="11.25" customHeight="1">
      <c r="A506" t="s">
        <v>16</v>
      </c>
      <c r="B506" t="s">
        <v>100</v>
      </c>
      <c r="C506" t="s">
        <v>4963</v>
      </c>
      <c r="D506" t="s">
        <v>100</v>
      </c>
      <c r="E506" t="s">
        <v>4963</v>
      </c>
      <c r="F506" t="s">
        <v>3544</v>
      </c>
      <c r="G506" t="s">
        <v>4987</v>
      </c>
    </row>
    <row r="507" spans="1:7" ht="11.25" customHeight="1">
      <c r="A507" t="s">
        <v>16</v>
      </c>
      <c r="B507" t="s">
        <v>100</v>
      </c>
      <c r="C507" t="s">
        <v>4963</v>
      </c>
      <c r="D507" t="s">
        <v>4988</v>
      </c>
      <c r="E507" t="s">
        <v>4989</v>
      </c>
      <c r="F507" t="s">
        <v>3547</v>
      </c>
      <c r="G507" t="s">
        <v>4990</v>
      </c>
    </row>
    <row r="508" spans="1:7" ht="11.25" customHeight="1">
      <c r="A508" t="s">
        <v>16</v>
      </c>
      <c r="B508" t="s">
        <v>100</v>
      </c>
      <c r="C508" t="s">
        <v>4963</v>
      </c>
      <c r="D508" t="s">
        <v>4991</v>
      </c>
      <c r="E508" t="s">
        <v>4992</v>
      </c>
      <c r="F508" t="s">
        <v>3547</v>
      </c>
      <c r="G508" t="s">
        <v>4993</v>
      </c>
    </row>
    <row r="509" spans="1:7" ht="11.25" customHeight="1">
      <c r="A509" t="s">
        <v>16</v>
      </c>
      <c r="B509" t="s">
        <v>100</v>
      </c>
      <c r="C509" t="s">
        <v>4963</v>
      </c>
      <c r="D509" t="s">
        <v>4994</v>
      </c>
      <c r="E509" t="s">
        <v>4995</v>
      </c>
      <c r="F509" t="s">
        <v>3547</v>
      </c>
      <c r="G509" t="s">
        <v>4996</v>
      </c>
    </row>
    <row r="510" spans="1:7" ht="11.25" customHeight="1">
      <c r="A510" t="s">
        <v>16</v>
      </c>
      <c r="B510" t="s">
        <v>100</v>
      </c>
      <c r="C510" t="s">
        <v>4963</v>
      </c>
      <c r="D510" t="s">
        <v>4997</v>
      </c>
      <c r="E510" t="s">
        <v>4998</v>
      </c>
      <c r="F510" t="s">
        <v>3547</v>
      </c>
      <c r="G510" t="s">
        <v>4999</v>
      </c>
    </row>
    <row r="511" spans="1:7" ht="11.25" customHeight="1">
      <c r="A511" t="s">
        <v>16</v>
      </c>
      <c r="B511" t="s">
        <v>100</v>
      </c>
      <c r="C511" t="s">
        <v>4963</v>
      </c>
      <c r="D511" t="s">
        <v>5000</v>
      </c>
      <c r="E511" t="s">
        <v>5001</v>
      </c>
      <c r="F511" t="s">
        <v>3547</v>
      </c>
      <c r="G511" t="s">
        <v>5002</v>
      </c>
    </row>
    <row r="512" spans="1:7" ht="11.25" customHeight="1">
      <c r="A512" t="s">
        <v>16</v>
      </c>
      <c r="B512" t="s">
        <v>100</v>
      </c>
      <c r="C512" t="s">
        <v>4963</v>
      </c>
      <c r="D512" t="s">
        <v>5003</v>
      </c>
      <c r="E512" t="s">
        <v>5004</v>
      </c>
      <c r="F512" t="s">
        <v>3547</v>
      </c>
      <c r="G512" t="s">
        <v>5005</v>
      </c>
    </row>
    <row r="513" spans="1:7" ht="11.25" customHeight="1">
      <c r="A513" t="s">
        <v>16</v>
      </c>
      <c r="B513" t="s">
        <v>100</v>
      </c>
      <c r="C513" t="s">
        <v>4963</v>
      </c>
      <c r="D513" t="s">
        <v>106</v>
      </c>
      <c r="E513" t="s">
        <v>107</v>
      </c>
      <c r="F513" t="s">
        <v>3547</v>
      </c>
      <c r="G513" t="s">
        <v>105</v>
      </c>
    </row>
    <row r="514" spans="1:7" ht="11.25" customHeight="1">
      <c r="A514" t="s">
        <v>16</v>
      </c>
      <c r="B514" t="s">
        <v>100</v>
      </c>
      <c r="C514" t="s">
        <v>4963</v>
      </c>
      <c r="D514" t="s">
        <v>5006</v>
      </c>
      <c r="E514" t="s">
        <v>5007</v>
      </c>
      <c r="F514" t="s">
        <v>3547</v>
      </c>
      <c r="G514" t="s">
        <v>5008</v>
      </c>
    </row>
    <row r="515" spans="1:7" ht="11.25" customHeight="1">
      <c r="A515" t="s">
        <v>16</v>
      </c>
      <c r="B515" t="s">
        <v>100</v>
      </c>
      <c r="C515" t="s">
        <v>4963</v>
      </c>
      <c r="D515" t="s">
        <v>5009</v>
      </c>
      <c r="E515" t="s">
        <v>5010</v>
      </c>
      <c r="F515" t="s">
        <v>3547</v>
      </c>
      <c r="G515" t="s">
        <v>5011</v>
      </c>
    </row>
    <row r="516" spans="1:7" ht="11.25" customHeight="1">
      <c r="A516" t="s">
        <v>16</v>
      </c>
      <c r="B516" t="s">
        <v>100</v>
      </c>
      <c r="C516" t="s">
        <v>4963</v>
      </c>
      <c r="D516" t="s">
        <v>5012</v>
      </c>
      <c r="E516" t="s">
        <v>5013</v>
      </c>
      <c r="F516" t="s">
        <v>3547</v>
      </c>
      <c r="G516" t="s">
        <v>5014</v>
      </c>
    </row>
    <row r="517" spans="1:7" ht="11.25" customHeight="1">
      <c r="A517" t="s">
        <v>16</v>
      </c>
      <c r="B517" t="s">
        <v>100</v>
      </c>
      <c r="C517" t="s">
        <v>4963</v>
      </c>
      <c r="D517" t="s">
        <v>5015</v>
      </c>
      <c r="E517" t="s">
        <v>5016</v>
      </c>
      <c r="F517" t="s">
        <v>3547</v>
      </c>
      <c r="G517" t="s">
        <v>5017</v>
      </c>
    </row>
    <row r="518" spans="1:7" ht="11.25" customHeight="1">
      <c r="A518" t="s">
        <v>16</v>
      </c>
      <c r="B518" t="s">
        <v>100</v>
      </c>
      <c r="C518" t="s">
        <v>4963</v>
      </c>
      <c r="D518" t="s">
        <v>5018</v>
      </c>
      <c r="E518" t="s">
        <v>5019</v>
      </c>
      <c r="F518" t="s">
        <v>3547</v>
      </c>
      <c r="G518" t="s">
        <v>5020</v>
      </c>
    </row>
    <row r="519" spans="1:7" ht="11.25" customHeight="1">
      <c r="A519" t="s">
        <v>16</v>
      </c>
      <c r="B519" t="s">
        <v>100</v>
      </c>
      <c r="C519" t="s">
        <v>4963</v>
      </c>
      <c r="D519" t="s">
        <v>5021</v>
      </c>
      <c r="E519" t="s">
        <v>5022</v>
      </c>
      <c r="F519" t="s">
        <v>3547</v>
      </c>
      <c r="G519" t="s">
        <v>5023</v>
      </c>
    </row>
    <row r="520" spans="1:7" ht="11.25" customHeight="1">
      <c r="A520" t="s">
        <v>16</v>
      </c>
      <c r="B520" t="s">
        <v>100</v>
      </c>
      <c r="C520" t="s">
        <v>4963</v>
      </c>
      <c r="D520" t="s">
        <v>5024</v>
      </c>
      <c r="E520" t="s">
        <v>5025</v>
      </c>
      <c r="F520" t="s">
        <v>3547</v>
      </c>
      <c r="G520" t="s">
        <v>5026</v>
      </c>
    </row>
    <row r="521" spans="1:7" ht="11.25" customHeight="1">
      <c r="A521" t="s">
        <v>16</v>
      </c>
      <c r="B521" t="s">
        <v>100</v>
      </c>
      <c r="C521" t="s">
        <v>4963</v>
      </c>
      <c r="D521" t="s">
        <v>5027</v>
      </c>
      <c r="E521" t="s">
        <v>5028</v>
      </c>
      <c r="F521" t="s">
        <v>3547</v>
      </c>
      <c r="G521" t="s">
        <v>5029</v>
      </c>
    </row>
    <row r="522" spans="1:7" ht="11.25" customHeight="1">
      <c r="A522" t="s">
        <v>16</v>
      </c>
      <c r="B522" t="s">
        <v>100</v>
      </c>
      <c r="C522" t="s">
        <v>4963</v>
      </c>
      <c r="D522" t="s">
        <v>5030</v>
      </c>
      <c r="E522" t="s">
        <v>5031</v>
      </c>
      <c r="F522" t="s">
        <v>3547</v>
      </c>
      <c r="G522" t="s">
        <v>5032</v>
      </c>
    </row>
    <row r="523" spans="1:7" ht="11.25" customHeight="1">
      <c r="A523" t="s">
        <v>16</v>
      </c>
      <c r="B523" t="s">
        <v>100</v>
      </c>
      <c r="C523" t="s">
        <v>4963</v>
      </c>
      <c r="D523" t="s">
        <v>5033</v>
      </c>
      <c r="E523" t="s">
        <v>5034</v>
      </c>
      <c r="F523" t="s">
        <v>3547</v>
      </c>
      <c r="G523" t="s">
        <v>5035</v>
      </c>
    </row>
    <row r="524" spans="1:7" ht="11.25" customHeight="1">
      <c r="A524" t="s">
        <v>16</v>
      </c>
      <c r="B524" t="s">
        <v>100</v>
      </c>
      <c r="C524" t="s">
        <v>4963</v>
      </c>
      <c r="D524" t="s">
        <v>5036</v>
      </c>
      <c r="E524" t="s">
        <v>5037</v>
      </c>
      <c r="F524" t="s">
        <v>3547</v>
      </c>
      <c r="G524" t="s">
        <v>5038</v>
      </c>
    </row>
    <row r="525" spans="1:7" ht="11.25" customHeight="1">
      <c r="A525" t="s">
        <v>16</v>
      </c>
      <c r="B525" t="s">
        <v>100</v>
      </c>
      <c r="C525" t="s">
        <v>4963</v>
      </c>
      <c r="D525" t="s">
        <v>5039</v>
      </c>
      <c r="E525" t="s">
        <v>5040</v>
      </c>
      <c r="F525" t="s">
        <v>3547</v>
      </c>
      <c r="G525" t="s">
        <v>5041</v>
      </c>
    </row>
    <row r="526" spans="1:7" ht="11.25" customHeight="1">
      <c r="A526" t="s">
        <v>16</v>
      </c>
      <c r="B526" t="s">
        <v>100</v>
      </c>
      <c r="C526" t="s">
        <v>4963</v>
      </c>
      <c r="D526" t="s">
        <v>5042</v>
      </c>
      <c r="E526" t="s">
        <v>5043</v>
      </c>
      <c r="F526" t="s">
        <v>3547</v>
      </c>
      <c r="G526" t="s">
        <v>5044</v>
      </c>
    </row>
    <row r="527" spans="1:7" ht="11.25" customHeight="1">
      <c r="A527" t="s">
        <v>16</v>
      </c>
      <c r="B527" t="s">
        <v>100</v>
      </c>
      <c r="C527" t="s">
        <v>4963</v>
      </c>
      <c r="D527" t="s">
        <v>5045</v>
      </c>
      <c r="E527" t="s">
        <v>5046</v>
      </c>
      <c r="F527" t="s">
        <v>3547</v>
      </c>
      <c r="G527" t="s">
        <v>5047</v>
      </c>
    </row>
    <row r="528" spans="1:7" ht="11.25" customHeight="1">
      <c r="A528" t="s">
        <v>16</v>
      </c>
      <c r="B528" t="s">
        <v>5048</v>
      </c>
      <c r="C528" t="s">
        <v>5049</v>
      </c>
      <c r="D528" t="s">
        <v>4192</v>
      </c>
      <c r="E528" t="s">
        <v>5050</v>
      </c>
      <c r="F528" t="s">
        <v>3547</v>
      </c>
      <c r="G528" t="s">
        <v>5051</v>
      </c>
    </row>
    <row r="529" spans="1:7" ht="11.25" customHeight="1">
      <c r="A529" t="s">
        <v>16</v>
      </c>
      <c r="B529" t="s">
        <v>5048</v>
      </c>
      <c r="C529" t="s">
        <v>5049</v>
      </c>
      <c r="D529" t="s">
        <v>5052</v>
      </c>
      <c r="E529" t="s">
        <v>5053</v>
      </c>
      <c r="F529" t="s">
        <v>3547</v>
      </c>
      <c r="G529" t="s">
        <v>5054</v>
      </c>
    </row>
    <row r="530" spans="1:7" ht="11.25" customHeight="1">
      <c r="A530" t="s">
        <v>16</v>
      </c>
      <c r="B530" t="s">
        <v>5048</v>
      </c>
      <c r="C530" t="s">
        <v>5049</v>
      </c>
      <c r="D530" t="s">
        <v>5055</v>
      </c>
      <c r="E530" t="s">
        <v>5056</v>
      </c>
      <c r="F530" t="s">
        <v>3547</v>
      </c>
      <c r="G530" t="s">
        <v>5057</v>
      </c>
    </row>
    <row r="531" spans="1:7" ht="11.25" customHeight="1">
      <c r="A531" t="s">
        <v>16</v>
      </c>
      <c r="B531" t="s">
        <v>5048</v>
      </c>
      <c r="C531" t="s">
        <v>5049</v>
      </c>
      <c r="D531" t="s">
        <v>5058</v>
      </c>
      <c r="E531" t="s">
        <v>5059</v>
      </c>
      <c r="F531" t="s">
        <v>3547</v>
      </c>
      <c r="G531" t="s">
        <v>5060</v>
      </c>
    </row>
    <row r="532" spans="1:7" ht="11.25" customHeight="1">
      <c r="A532" t="s">
        <v>16</v>
      </c>
      <c r="B532" t="s">
        <v>5048</v>
      </c>
      <c r="C532" t="s">
        <v>5049</v>
      </c>
      <c r="D532" t="s">
        <v>5061</v>
      </c>
      <c r="E532" t="s">
        <v>5062</v>
      </c>
      <c r="F532" t="s">
        <v>3552</v>
      </c>
      <c r="G532" t="s">
        <v>5063</v>
      </c>
    </row>
    <row r="533" spans="1:7" ht="11.25" customHeight="1">
      <c r="A533" t="s">
        <v>16</v>
      </c>
      <c r="B533" t="s">
        <v>5048</v>
      </c>
      <c r="C533" t="s">
        <v>5049</v>
      </c>
      <c r="D533" t="s">
        <v>5064</v>
      </c>
      <c r="E533" t="s">
        <v>5065</v>
      </c>
      <c r="F533" t="s">
        <v>3547</v>
      </c>
      <c r="G533" t="s">
        <v>5066</v>
      </c>
    </row>
    <row r="534" spans="1:7" ht="11.25" customHeight="1">
      <c r="A534" t="s">
        <v>16</v>
      </c>
      <c r="B534" t="s">
        <v>5048</v>
      </c>
      <c r="C534" t="s">
        <v>5049</v>
      </c>
      <c r="D534" t="s">
        <v>5067</v>
      </c>
      <c r="E534" t="s">
        <v>5068</v>
      </c>
      <c r="F534" t="s">
        <v>3547</v>
      </c>
      <c r="G534" t="s">
        <v>5069</v>
      </c>
    </row>
    <row r="535" spans="1:7" ht="11.25" customHeight="1">
      <c r="A535" t="s">
        <v>16</v>
      </c>
      <c r="B535" t="s">
        <v>5048</v>
      </c>
      <c r="C535" t="s">
        <v>5049</v>
      </c>
      <c r="D535" t="s">
        <v>5070</v>
      </c>
      <c r="E535" t="s">
        <v>5071</v>
      </c>
      <c r="F535" t="s">
        <v>3547</v>
      </c>
      <c r="G535" t="s">
        <v>5072</v>
      </c>
    </row>
    <row r="536" spans="1:7" ht="11.25" customHeight="1">
      <c r="A536" t="s">
        <v>16</v>
      </c>
      <c r="B536" t="s">
        <v>5048</v>
      </c>
      <c r="C536" t="s">
        <v>5049</v>
      </c>
      <c r="D536" t="s">
        <v>5073</v>
      </c>
      <c r="E536" t="s">
        <v>5074</v>
      </c>
      <c r="F536" t="s">
        <v>3547</v>
      </c>
      <c r="G536" t="s">
        <v>5075</v>
      </c>
    </row>
    <row r="537" spans="1:7" ht="11.25" customHeight="1">
      <c r="A537" t="s">
        <v>16</v>
      </c>
      <c r="B537" t="s">
        <v>5048</v>
      </c>
      <c r="C537" t="s">
        <v>5049</v>
      </c>
      <c r="D537" t="s">
        <v>5048</v>
      </c>
      <c r="E537" t="s">
        <v>5049</v>
      </c>
      <c r="F537" t="s">
        <v>3544</v>
      </c>
      <c r="G537" t="s">
        <v>5076</v>
      </c>
    </row>
    <row r="538" spans="1:7" ht="11.25" customHeight="1">
      <c r="A538" t="s">
        <v>16</v>
      </c>
      <c r="B538" t="s">
        <v>5048</v>
      </c>
      <c r="C538" t="s">
        <v>5049</v>
      </c>
      <c r="D538" t="s">
        <v>5077</v>
      </c>
      <c r="E538" t="s">
        <v>5078</v>
      </c>
      <c r="F538" t="s">
        <v>3547</v>
      </c>
      <c r="G538" t="s">
        <v>5079</v>
      </c>
    </row>
    <row r="539" spans="1:7" ht="11.25" customHeight="1">
      <c r="A539" t="s">
        <v>16</v>
      </c>
      <c r="B539" t="s">
        <v>5048</v>
      </c>
      <c r="C539" t="s">
        <v>5049</v>
      </c>
      <c r="D539" t="s">
        <v>5080</v>
      </c>
      <c r="E539" t="s">
        <v>5081</v>
      </c>
      <c r="F539" t="s">
        <v>3547</v>
      </c>
      <c r="G539" t="s">
        <v>5082</v>
      </c>
    </row>
    <row r="540" spans="1:7" ht="11.25" customHeight="1">
      <c r="A540" t="s">
        <v>16</v>
      </c>
      <c r="B540" t="s">
        <v>5048</v>
      </c>
      <c r="C540" t="s">
        <v>5049</v>
      </c>
      <c r="D540" t="s">
        <v>5083</v>
      </c>
      <c r="E540" t="s">
        <v>5084</v>
      </c>
      <c r="F540" t="s">
        <v>3547</v>
      </c>
      <c r="G540" t="s">
        <v>5085</v>
      </c>
    </row>
    <row r="541" spans="1:7" ht="11.25" customHeight="1">
      <c r="A541" t="s">
        <v>16</v>
      </c>
      <c r="B541" t="s">
        <v>5048</v>
      </c>
      <c r="C541" t="s">
        <v>5049</v>
      </c>
      <c r="D541" t="s">
        <v>5086</v>
      </c>
      <c r="E541" t="s">
        <v>5087</v>
      </c>
      <c r="F541" t="s">
        <v>3547</v>
      </c>
      <c r="G541" t="s">
        <v>5088</v>
      </c>
    </row>
    <row r="542" spans="1:7" ht="11.25" customHeight="1">
      <c r="A542" t="s">
        <v>16</v>
      </c>
      <c r="B542" t="s">
        <v>5048</v>
      </c>
      <c r="C542" t="s">
        <v>5049</v>
      </c>
      <c r="D542" t="s">
        <v>5089</v>
      </c>
      <c r="E542" t="s">
        <v>5090</v>
      </c>
      <c r="F542" t="s">
        <v>3547</v>
      </c>
      <c r="G542" t="s">
        <v>5091</v>
      </c>
    </row>
    <row r="543" spans="1:7" ht="11.25" customHeight="1">
      <c r="A543" t="s">
        <v>16</v>
      </c>
      <c r="B543" t="s">
        <v>5048</v>
      </c>
      <c r="C543" t="s">
        <v>5049</v>
      </c>
      <c r="D543" t="s">
        <v>5092</v>
      </c>
      <c r="E543" t="s">
        <v>5093</v>
      </c>
      <c r="F543" t="s">
        <v>3547</v>
      </c>
      <c r="G543" t="s">
        <v>5094</v>
      </c>
    </row>
    <row r="544" spans="1:7" ht="11.25" customHeight="1">
      <c r="A544" t="s">
        <v>16</v>
      </c>
      <c r="B544" t="s">
        <v>5048</v>
      </c>
      <c r="C544" t="s">
        <v>5049</v>
      </c>
      <c r="D544" t="s">
        <v>5095</v>
      </c>
      <c r="E544" t="s">
        <v>5096</v>
      </c>
      <c r="F544" t="s">
        <v>3547</v>
      </c>
      <c r="G544" t="s">
        <v>5097</v>
      </c>
    </row>
    <row r="545" spans="1:7" ht="11.25" customHeight="1">
      <c r="A545" t="s">
        <v>16</v>
      </c>
      <c r="B545" t="s">
        <v>5048</v>
      </c>
      <c r="C545" t="s">
        <v>5049</v>
      </c>
      <c r="D545" t="s">
        <v>5098</v>
      </c>
      <c r="E545" t="s">
        <v>5099</v>
      </c>
      <c r="F545" t="s">
        <v>3547</v>
      </c>
      <c r="G545" t="s">
        <v>5100</v>
      </c>
    </row>
    <row r="546" spans="1:7" ht="11.25" customHeight="1">
      <c r="A546" t="s">
        <v>16</v>
      </c>
      <c r="B546" t="s">
        <v>5048</v>
      </c>
      <c r="C546" t="s">
        <v>5049</v>
      </c>
      <c r="D546" t="s">
        <v>5101</v>
      </c>
      <c r="E546" t="s">
        <v>5102</v>
      </c>
      <c r="F546" t="s">
        <v>3547</v>
      </c>
      <c r="G546" t="s">
        <v>5103</v>
      </c>
    </row>
    <row r="547" spans="1:7" ht="11.25" customHeight="1">
      <c r="A547" t="s">
        <v>16</v>
      </c>
      <c r="B547" t="s">
        <v>5048</v>
      </c>
      <c r="C547" t="s">
        <v>5049</v>
      </c>
      <c r="D547" t="s">
        <v>5104</v>
      </c>
      <c r="E547" t="s">
        <v>5105</v>
      </c>
      <c r="F547" t="s">
        <v>3547</v>
      </c>
      <c r="G547" t="s">
        <v>5106</v>
      </c>
    </row>
    <row r="548" spans="1:7" ht="11.25" customHeight="1">
      <c r="A548" t="s">
        <v>16</v>
      </c>
      <c r="B548" t="s">
        <v>5048</v>
      </c>
      <c r="C548" t="s">
        <v>5049</v>
      </c>
      <c r="D548" t="s">
        <v>5107</v>
      </c>
      <c r="E548" t="s">
        <v>5108</v>
      </c>
      <c r="F548" t="s">
        <v>3547</v>
      </c>
      <c r="G548" t="s">
        <v>5109</v>
      </c>
    </row>
    <row r="549" spans="1:7" ht="11.25" customHeight="1">
      <c r="A549" t="s">
        <v>16</v>
      </c>
      <c r="B549" t="s">
        <v>5048</v>
      </c>
      <c r="C549" t="s">
        <v>5049</v>
      </c>
      <c r="D549" t="s">
        <v>5110</v>
      </c>
      <c r="E549" t="s">
        <v>5111</v>
      </c>
      <c r="F549" t="s">
        <v>3547</v>
      </c>
      <c r="G549" t="s">
        <v>5112</v>
      </c>
    </row>
    <row r="550" spans="1:7" ht="11.25" customHeight="1">
      <c r="A550" t="s">
        <v>16</v>
      </c>
      <c r="B550" t="s">
        <v>5048</v>
      </c>
      <c r="C550" t="s">
        <v>5049</v>
      </c>
      <c r="D550" t="s">
        <v>5113</v>
      </c>
      <c r="E550" t="s">
        <v>5114</v>
      </c>
      <c r="F550" t="s">
        <v>3547</v>
      </c>
      <c r="G550" t="s">
        <v>5115</v>
      </c>
    </row>
    <row r="551" spans="1:7" ht="11.25" customHeight="1">
      <c r="A551" t="s">
        <v>16</v>
      </c>
      <c r="B551" t="s">
        <v>5048</v>
      </c>
      <c r="C551" t="s">
        <v>5049</v>
      </c>
      <c r="D551" t="s">
        <v>5116</v>
      </c>
      <c r="E551" t="s">
        <v>5117</v>
      </c>
      <c r="F551" t="s">
        <v>3547</v>
      </c>
      <c r="G551" t="s">
        <v>5118</v>
      </c>
    </row>
    <row r="552" spans="1:7" ht="11.25" customHeight="1">
      <c r="A552" t="s">
        <v>16</v>
      </c>
      <c r="B552" t="s">
        <v>5048</v>
      </c>
      <c r="C552" t="s">
        <v>5049</v>
      </c>
      <c r="D552" t="s">
        <v>5119</v>
      </c>
      <c r="E552" t="s">
        <v>5120</v>
      </c>
      <c r="F552" t="s">
        <v>3547</v>
      </c>
      <c r="G552" t="s">
        <v>5121</v>
      </c>
    </row>
    <row r="553" spans="1:7" ht="11.25" customHeight="1">
      <c r="A553" t="s">
        <v>16</v>
      </c>
      <c r="B553" t="s">
        <v>5122</v>
      </c>
      <c r="C553" t="s">
        <v>5123</v>
      </c>
      <c r="D553" t="s">
        <v>5124</v>
      </c>
      <c r="E553" t="s">
        <v>5125</v>
      </c>
      <c r="F553" t="s">
        <v>3547</v>
      </c>
      <c r="G553" t="s">
        <v>5126</v>
      </c>
    </row>
    <row r="554" spans="1:7" ht="11.25" customHeight="1">
      <c r="A554" t="s">
        <v>16</v>
      </c>
      <c r="B554" t="s">
        <v>5122</v>
      </c>
      <c r="C554" t="s">
        <v>5123</v>
      </c>
      <c r="D554" t="s">
        <v>5127</v>
      </c>
      <c r="E554" t="s">
        <v>5128</v>
      </c>
      <c r="F554" t="s">
        <v>3552</v>
      </c>
      <c r="G554" t="s">
        <v>5129</v>
      </c>
    </row>
    <row r="555" spans="1:7" ht="11.25" customHeight="1">
      <c r="A555" t="s">
        <v>16</v>
      </c>
      <c r="B555" t="s">
        <v>5122</v>
      </c>
      <c r="C555" t="s">
        <v>5123</v>
      </c>
      <c r="D555" t="s">
        <v>5130</v>
      </c>
      <c r="E555" t="s">
        <v>5131</v>
      </c>
      <c r="F555" t="s">
        <v>3547</v>
      </c>
      <c r="G555" t="s">
        <v>5132</v>
      </c>
    </row>
    <row r="556" spans="1:7" ht="11.25" customHeight="1">
      <c r="A556" t="s">
        <v>16</v>
      </c>
      <c r="B556" t="s">
        <v>5122</v>
      </c>
      <c r="C556" t="s">
        <v>5123</v>
      </c>
      <c r="D556" t="s">
        <v>4313</v>
      </c>
      <c r="E556" t="s">
        <v>5133</v>
      </c>
      <c r="F556" t="s">
        <v>3547</v>
      </c>
      <c r="G556" t="s">
        <v>5134</v>
      </c>
    </row>
    <row r="557" spans="1:7" ht="11.25" customHeight="1">
      <c r="A557" t="s">
        <v>16</v>
      </c>
      <c r="B557" t="s">
        <v>5122</v>
      </c>
      <c r="C557" t="s">
        <v>5123</v>
      </c>
      <c r="D557" t="s">
        <v>5135</v>
      </c>
      <c r="E557" t="s">
        <v>5136</v>
      </c>
      <c r="F557" t="s">
        <v>3547</v>
      </c>
      <c r="G557" t="s">
        <v>5137</v>
      </c>
    </row>
    <row r="558" spans="1:7" ht="11.25" customHeight="1">
      <c r="A558" t="s">
        <v>16</v>
      </c>
      <c r="B558" t="s">
        <v>5122</v>
      </c>
      <c r="C558" t="s">
        <v>5123</v>
      </c>
      <c r="D558" t="s">
        <v>5138</v>
      </c>
      <c r="E558" t="s">
        <v>5139</v>
      </c>
      <c r="F558" t="s">
        <v>3547</v>
      </c>
      <c r="G558" t="s">
        <v>5140</v>
      </c>
    </row>
    <row r="559" spans="1:7" ht="11.25" customHeight="1">
      <c r="A559" t="s">
        <v>16</v>
      </c>
      <c r="B559" t="s">
        <v>5122</v>
      </c>
      <c r="C559" t="s">
        <v>5123</v>
      </c>
      <c r="D559" t="s">
        <v>5141</v>
      </c>
      <c r="E559" t="s">
        <v>5142</v>
      </c>
      <c r="F559" t="s">
        <v>3547</v>
      </c>
      <c r="G559" t="s">
        <v>5143</v>
      </c>
    </row>
    <row r="560" spans="1:7" ht="11.25" customHeight="1">
      <c r="A560" t="s">
        <v>16</v>
      </c>
      <c r="B560" t="s">
        <v>5122</v>
      </c>
      <c r="C560" t="s">
        <v>5123</v>
      </c>
      <c r="D560" t="s">
        <v>5144</v>
      </c>
      <c r="E560" t="s">
        <v>5145</v>
      </c>
      <c r="F560" t="s">
        <v>3547</v>
      </c>
      <c r="G560" t="s">
        <v>5146</v>
      </c>
    </row>
    <row r="561" spans="1:7" ht="11.25" customHeight="1">
      <c r="A561" t="s">
        <v>16</v>
      </c>
      <c r="B561" t="s">
        <v>5122</v>
      </c>
      <c r="C561" t="s">
        <v>5123</v>
      </c>
      <c r="D561" t="s">
        <v>5147</v>
      </c>
      <c r="E561" t="s">
        <v>5148</v>
      </c>
      <c r="F561" t="s">
        <v>3547</v>
      </c>
      <c r="G561" t="s">
        <v>5149</v>
      </c>
    </row>
    <row r="562" spans="1:7" ht="11.25" customHeight="1">
      <c r="A562" t="s">
        <v>16</v>
      </c>
      <c r="B562" t="s">
        <v>5122</v>
      </c>
      <c r="C562" t="s">
        <v>5123</v>
      </c>
      <c r="D562" t="s">
        <v>5122</v>
      </c>
      <c r="E562" t="s">
        <v>5123</v>
      </c>
      <c r="F562" t="s">
        <v>3544</v>
      </c>
      <c r="G562" t="s">
        <v>5150</v>
      </c>
    </row>
    <row r="563" spans="1:7" ht="11.25" customHeight="1">
      <c r="A563" t="s">
        <v>16</v>
      </c>
      <c r="B563" t="s">
        <v>5122</v>
      </c>
      <c r="C563" t="s">
        <v>5123</v>
      </c>
      <c r="D563" t="s">
        <v>5151</v>
      </c>
      <c r="E563" t="s">
        <v>5152</v>
      </c>
      <c r="F563" t="s">
        <v>3547</v>
      </c>
      <c r="G563" t="s">
        <v>5153</v>
      </c>
    </row>
    <row r="564" spans="1:7" ht="11.25" customHeight="1">
      <c r="A564" t="s">
        <v>16</v>
      </c>
      <c r="B564" t="s">
        <v>5122</v>
      </c>
      <c r="C564" t="s">
        <v>5123</v>
      </c>
      <c r="D564" t="s">
        <v>5154</v>
      </c>
      <c r="E564" t="s">
        <v>5155</v>
      </c>
      <c r="F564" t="s">
        <v>3547</v>
      </c>
      <c r="G564" t="s">
        <v>5156</v>
      </c>
    </row>
    <row r="565" spans="1:7" ht="11.25" customHeight="1">
      <c r="A565" t="s">
        <v>16</v>
      </c>
      <c r="B565" t="s">
        <v>5122</v>
      </c>
      <c r="C565" t="s">
        <v>5123</v>
      </c>
      <c r="D565" t="s">
        <v>5157</v>
      </c>
      <c r="E565" t="s">
        <v>5158</v>
      </c>
      <c r="F565" t="s">
        <v>3547</v>
      </c>
      <c r="G565" t="s">
        <v>5159</v>
      </c>
    </row>
    <row r="566" spans="1:7" ht="11.25" customHeight="1">
      <c r="A566" t="s">
        <v>16</v>
      </c>
      <c r="B566" t="s">
        <v>5122</v>
      </c>
      <c r="C566" t="s">
        <v>5123</v>
      </c>
      <c r="D566" t="s">
        <v>5160</v>
      </c>
      <c r="E566" t="s">
        <v>5161</v>
      </c>
      <c r="F566" t="s">
        <v>3547</v>
      </c>
      <c r="G566" t="s">
        <v>5162</v>
      </c>
    </row>
    <row r="567" spans="1:7" ht="11.25" customHeight="1">
      <c r="A567" t="s">
        <v>16</v>
      </c>
      <c r="B567" t="s">
        <v>5122</v>
      </c>
      <c r="C567" t="s">
        <v>5123</v>
      </c>
      <c r="D567" t="s">
        <v>5163</v>
      </c>
      <c r="E567" t="s">
        <v>5164</v>
      </c>
      <c r="F567" t="s">
        <v>3547</v>
      </c>
      <c r="G567" t="s">
        <v>5165</v>
      </c>
    </row>
    <row r="568" spans="1:7" ht="11.25" customHeight="1">
      <c r="A568" t="s">
        <v>16</v>
      </c>
      <c r="B568" t="s">
        <v>5122</v>
      </c>
      <c r="C568" t="s">
        <v>5123</v>
      </c>
      <c r="D568" t="s">
        <v>5166</v>
      </c>
      <c r="E568" t="s">
        <v>5167</v>
      </c>
      <c r="F568" t="s">
        <v>3547</v>
      </c>
      <c r="G568" t="s">
        <v>5168</v>
      </c>
    </row>
    <row r="569" spans="1:7" ht="11.25" customHeight="1">
      <c r="A569" t="s">
        <v>16</v>
      </c>
      <c r="B569" t="s">
        <v>5122</v>
      </c>
      <c r="C569" t="s">
        <v>5123</v>
      </c>
      <c r="D569" t="s">
        <v>5169</v>
      </c>
      <c r="E569" t="s">
        <v>5170</v>
      </c>
      <c r="F569" t="s">
        <v>3547</v>
      </c>
      <c r="G569" t="s">
        <v>5171</v>
      </c>
    </row>
    <row r="570" spans="1:7" ht="11.25" customHeight="1">
      <c r="A570" t="s">
        <v>16</v>
      </c>
      <c r="B570" t="s">
        <v>5122</v>
      </c>
      <c r="C570" t="s">
        <v>5123</v>
      </c>
      <c r="D570" t="s">
        <v>5172</v>
      </c>
      <c r="E570" t="s">
        <v>5173</v>
      </c>
      <c r="F570" t="s">
        <v>3547</v>
      </c>
      <c r="G570" t="s">
        <v>5174</v>
      </c>
    </row>
    <row r="571" spans="1:7" ht="11.25" customHeight="1">
      <c r="A571" t="s">
        <v>16</v>
      </c>
      <c r="B571" t="s">
        <v>5122</v>
      </c>
      <c r="C571" t="s">
        <v>5123</v>
      </c>
      <c r="D571" t="s">
        <v>5175</v>
      </c>
      <c r="E571" t="s">
        <v>5176</v>
      </c>
      <c r="F571" t="s">
        <v>3547</v>
      </c>
      <c r="G571" t="s">
        <v>5177</v>
      </c>
    </row>
    <row r="572" spans="1:7" ht="11.25" customHeight="1">
      <c r="A572" t="s">
        <v>16</v>
      </c>
      <c r="B572" t="s">
        <v>5122</v>
      </c>
      <c r="C572" t="s">
        <v>5123</v>
      </c>
      <c r="D572" t="s">
        <v>5178</v>
      </c>
      <c r="E572" t="s">
        <v>5179</v>
      </c>
      <c r="F572" t="s">
        <v>3547</v>
      </c>
      <c r="G572" t="s">
        <v>5180</v>
      </c>
    </row>
    <row r="573" spans="1:7" ht="11.25" customHeight="1">
      <c r="A573" t="s">
        <v>16</v>
      </c>
      <c r="B573" t="s">
        <v>5122</v>
      </c>
      <c r="C573" t="s">
        <v>5123</v>
      </c>
      <c r="D573" t="s">
        <v>5181</v>
      </c>
      <c r="E573" t="s">
        <v>5182</v>
      </c>
      <c r="F573" t="s">
        <v>3547</v>
      </c>
      <c r="G573" t="s">
        <v>5183</v>
      </c>
    </row>
    <row r="574" spans="1:7" ht="11.25" customHeight="1">
      <c r="A574" t="s">
        <v>16</v>
      </c>
      <c r="B574" t="s">
        <v>5122</v>
      </c>
      <c r="C574" t="s">
        <v>5123</v>
      </c>
      <c r="D574" t="s">
        <v>5184</v>
      </c>
      <c r="E574" t="s">
        <v>5185</v>
      </c>
      <c r="F574" t="s">
        <v>3547</v>
      </c>
      <c r="G574" t="s">
        <v>5186</v>
      </c>
    </row>
    <row r="575" spans="1:7" ht="11.25" customHeight="1">
      <c r="A575" t="s">
        <v>16</v>
      </c>
      <c r="B575" t="s">
        <v>5122</v>
      </c>
      <c r="C575" t="s">
        <v>5123</v>
      </c>
      <c r="D575" t="s">
        <v>5187</v>
      </c>
      <c r="E575" t="s">
        <v>5188</v>
      </c>
      <c r="F575" t="s">
        <v>3547</v>
      </c>
      <c r="G575" t="s">
        <v>5189</v>
      </c>
    </row>
    <row r="576" spans="1:7" ht="11.25" customHeight="1">
      <c r="A576" t="s">
        <v>16</v>
      </c>
      <c r="B576" t="s">
        <v>5122</v>
      </c>
      <c r="C576" t="s">
        <v>5123</v>
      </c>
      <c r="D576" t="s">
        <v>5190</v>
      </c>
      <c r="E576" t="s">
        <v>5191</v>
      </c>
      <c r="F576" t="s">
        <v>3547</v>
      </c>
      <c r="G576" t="s">
        <v>5192</v>
      </c>
    </row>
    <row r="577" spans="1:7" ht="11.25" customHeight="1">
      <c r="A577" t="s">
        <v>16</v>
      </c>
      <c r="B577" t="s">
        <v>5122</v>
      </c>
      <c r="C577" t="s">
        <v>5123</v>
      </c>
      <c r="D577" t="s">
        <v>5193</v>
      </c>
      <c r="E577" t="s">
        <v>5194</v>
      </c>
      <c r="F577" t="s">
        <v>3547</v>
      </c>
      <c r="G577" t="s">
        <v>5195</v>
      </c>
    </row>
    <row r="578" spans="1:7" ht="11.25" customHeight="1">
      <c r="A578" t="s">
        <v>16</v>
      </c>
      <c r="B578" t="s">
        <v>5122</v>
      </c>
      <c r="C578" t="s">
        <v>5123</v>
      </c>
      <c r="D578" t="s">
        <v>5196</v>
      </c>
      <c r="E578" t="s">
        <v>5197</v>
      </c>
      <c r="F578" t="s">
        <v>3547</v>
      </c>
      <c r="G578" t="s">
        <v>5198</v>
      </c>
    </row>
    <row r="579" spans="1:7" ht="11.25" customHeight="1">
      <c r="A579" t="s">
        <v>16</v>
      </c>
      <c r="B579" t="s">
        <v>5199</v>
      </c>
      <c r="C579" t="s">
        <v>5200</v>
      </c>
      <c r="D579" t="s">
        <v>5201</v>
      </c>
      <c r="E579" t="s">
        <v>5202</v>
      </c>
      <c r="F579" t="s">
        <v>3547</v>
      </c>
      <c r="G579" t="s">
        <v>5203</v>
      </c>
    </row>
    <row r="580" spans="1:7" ht="11.25" customHeight="1">
      <c r="A580" t="s">
        <v>16</v>
      </c>
      <c r="B580" t="s">
        <v>5199</v>
      </c>
      <c r="C580" t="s">
        <v>5200</v>
      </c>
      <c r="D580" t="s">
        <v>5204</v>
      </c>
      <c r="E580" t="s">
        <v>5205</v>
      </c>
      <c r="F580" t="s">
        <v>3547</v>
      </c>
      <c r="G580" t="s">
        <v>5206</v>
      </c>
    </row>
    <row r="581" spans="1:7" ht="11.25" customHeight="1">
      <c r="A581" t="s">
        <v>16</v>
      </c>
      <c r="B581" t="s">
        <v>5199</v>
      </c>
      <c r="C581" t="s">
        <v>5200</v>
      </c>
      <c r="D581" t="s">
        <v>5207</v>
      </c>
      <c r="E581" t="s">
        <v>5208</v>
      </c>
      <c r="F581" t="s">
        <v>3552</v>
      </c>
      <c r="G581" t="s">
        <v>5209</v>
      </c>
    </row>
    <row r="582" spans="1:7" ht="11.25" customHeight="1">
      <c r="A582" t="s">
        <v>16</v>
      </c>
      <c r="B582" t="s">
        <v>5199</v>
      </c>
      <c r="C582" t="s">
        <v>5200</v>
      </c>
      <c r="D582" t="s">
        <v>5210</v>
      </c>
      <c r="E582" t="s">
        <v>5211</v>
      </c>
      <c r="F582" t="s">
        <v>3547</v>
      </c>
      <c r="G582" t="s">
        <v>5212</v>
      </c>
    </row>
    <row r="583" spans="1:7" ht="11.25" customHeight="1">
      <c r="A583" t="s">
        <v>16</v>
      </c>
      <c r="B583" t="s">
        <v>5199</v>
      </c>
      <c r="C583" t="s">
        <v>5200</v>
      </c>
      <c r="D583" t="s">
        <v>5213</v>
      </c>
      <c r="E583" t="s">
        <v>5214</v>
      </c>
      <c r="F583" t="s">
        <v>3547</v>
      </c>
      <c r="G583" t="s">
        <v>5215</v>
      </c>
    </row>
    <row r="584" spans="1:7" ht="11.25" customHeight="1">
      <c r="A584" t="s">
        <v>16</v>
      </c>
      <c r="B584" t="s">
        <v>5199</v>
      </c>
      <c r="C584" t="s">
        <v>5200</v>
      </c>
      <c r="D584" t="s">
        <v>5216</v>
      </c>
      <c r="E584" t="s">
        <v>5217</v>
      </c>
      <c r="F584" t="s">
        <v>3547</v>
      </c>
      <c r="G584" t="s">
        <v>5218</v>
      </c>
    </row>
    <row r="585" spans="1:7" ht="11.25" customHeight="1">
      <c r="A585" t="s">
        <v>16</v>
      </c>
      <c r="B585" t="s">
        <v>5199</v>
      </c>
      <c r="C585" t="s">
        <v>5200</v>
      </c>
      <c r="D585" t="s">
        <v>5219</v>
      </c>
      <c r="E585" t="s">
        <v>5220</v>
      </c>
      <c r="F585" t="s">
        <v>3547</v>
      </c>
      <c r="G585" t="s">
        <v>5221</v>
      </c>
    </row>
    <row r="586" spans="1:7" ht="11.25" customHeight="1">
      <c r="A586" t="s">
        <v>16</v>
      </c>
      <c r="B586" t="s">
        <v>5199</v>
      </c>
      <c r="C586" t="s">
        <v>5200</v>
      </c>
      <c r="D586" t="s">
        <v>5222</v>
      </c>
      <c r="E586" t="s">
        <v>5223</v>
      </c>
      <c r="F586" t="s">
        <v>3547</v>
      </c>
      <c r="G586" t="s">
        <v>5224</v>
      </c>
    </row>
    <row r="587" spans="1:7" ht="11.25" customHeight="1">
      <c r="A587" t="s">
        <v>16</v>
      </c>
      <c r="B587" t="s">
        <v>5199</v>
      </c>
      <c r="C587" t="s">
        <v>5200</v>
      </c>
      <c r="D587" t="s">
        <v>5225</v>
      </c>
      <c r="E587" t="s">
        <v>5226</v>
      </c>
      <c r="F587" t="s">
        <v>3547</v>
      </c>
      <c r="G587" t="s">
        <v>5227</v>
      </c>
    </row>
    <row r="588" spans="1:7" ht="11.25" customHeight="1">
      <c r="A588" t="s">
        <v>16</v>
      </c>
      <c r="B588" t="s">
        <v>5199</v>
      </c>
      <c r="C588" t="s">
        <v>5200</v>
      </c>
      <c r="D588" t="s">
        <v>5228</v>
      </c>
      <c r="E588" t="s">
        <v>5229</v>
      </c>
      <c r="F588" t="s">
        <v>3547</v>
      </c>
      <c r="G588" t="s">
        <v>5230</v>
      </c>
    </row>
    <row r="589" spans="1:7" ht="11.25" customHeight="1">
      <c r="A589" t="s">
        <v>16</v>
      </c>
      <c r="B589" t="s">
        <v>5199</v>
      </c>
      <c r="C589" t="s">
        <v>5200</v>
      </c>
      <c r="D589" t="s">
        <v>5231</v>
      </c>
      <c r="E589" t="s">
        <v>5232</v>
      </c>
      <c r="F589" t="s">
        <v>3547</v>
      </c>
      <c r="G589" t="s">
        <v>5233</v>
      </c>
    </row>
    <row r="590" spans="1:7" ht="11.25" customHeight="1">
      <c r="A590" t="s">
        <v>16</v>
      </c>
      <c r="B590" t="s">
        <v>5199</v>
      </c>
      <c r="C590" t="s">
        <v>5200</v>
      </c>
      <c r="D590" t="s">
        <v>5199</v>
      </c>
      <c r="E590" t="s">
        <v>5200</v>
      </c>
      <c r="F590" t="s">
        <v>3544</v>
      </c>
      <c r="G590" t="s">
        <v>5234</v>
      </c>
    </row>
    <row r="591" spans="1:7" ht="11.25" customHeight="1">
      <c r="A591" t="s">
        <v>16</v>
      </c>
      <c r="B591" t="s">
        <v>5199</v>
      </c>
      <c r="C591" t="s">
        <v>5200</v>
      </c>
      <c r="D591" t="s">
        <v>5235</v>
      </c>
      <c r="E591" t="s">
        <v>5236</v>
      </c>
      <c r="F591" t="s">
        <v>3547</v>
      </c>
      <c r="G591" t="s">
        <v>5237</v>
      </c>
    </row>
    <row r="592" spans="1:7" ht="11.25" customHeight="1">
      <c r="A592" t="s">
        <v>16</v>
      </c>
      <c r="B592" t="s">
        <v>5199</v>
      </c>
      <c r="C592" t="s">
        <v>5200</v>
      </c>
      <c r="D592" t="s">
        <v>5238</v>
      </c>
      <c r="E592" t="s">
        <v>5239</v>
      </c>
      <c r="F592" t="s">
        <v>3547</v>
      </c>
      <c r="G592" t="s">
        <v>5240</v>
      </c>
    </row>
    <row r="593" spans="1:7" ht="11.25" customHeight="1">
      <c r="A593" t="s">
        <v>16</v>
      </c>
      <c r="B593" t="s">
        <v>5199</v>
      </c>
      <c r="C593" t="s">
        <v>5200</v>
      </c>
      <c r="D593" t="s">
        <v>5241</v>
      </c>
      <c r="E593" t="s">
        <v>5242</v>
      </c>
      <c r="F593" t="s">
        <v>3547</v>
      </c>
      <c r="G593" t="s">
        <v>5243</v>
      </c>
    </row>
    <row r="594" spans="1:7" ht="11.25" customHeight="1">
      <c r="A594" t="s">
        <v>16</v>
      </c>
      <c r="B594" t="s">
        <v>5199</v>
      </c>
      <c r="C594" t="s">
        <v>5200</v>
      </c>
      <c r="D594" t="s">
        <v>5244</v>
      </c>
      <c r="E594" t="s">
        <v>5245</v>
      </c>
      <c r="F594" t="s">
        <v>3547</v>
      </c>
      <c r="G594" t="s">
        <v>5246</v>
      </c>
    </row>
    <row r="595" spans="1:7" ht="11.25" customHeight="1">
      <c r="A595" t="s">
        <v>16</v>
      </c>
      <c r="B595" t="s">
        <v>5199</v>
      </c>
      <c r="C595" t="s">
        <v>5200</v>
      </c>
      <c r="D595" t="s">
        <v>5247</v>
      </c>
      <c r="E595" t="s">
        <v>5248</v>
      </c>
      <c r="F595" t="s">
        <v>3547</v>
      </c>
      <c r="G595" t="s">
        <v>5249</v>
      </c>
    </row>
    <row r="596" spans="1:7" ht="11.25" customHeight="1">
      <c r="A596" t="s">
        <v>16</v>
      </c>
      <c r="B596" t="s">
        <v>5199</v>
      </c>
      <c r="C596" t="s">
        <v>5200</v>
      </c>
      <c r="D596" t="s">
        <v>5009</v>
      </c>
      <c r="E596" t="s">
        <v>5250</v>
      </c>
      <c r="F596" t="s">
        <v>3547</v>
      </c>
      <c r="G596" t="s">
        <v>5251</v>
      </c>
    </row>
    <row r="597" spans="1:7" ht="11.25" customHeight="1">
      <c r="A597" t="s">
        <v>16</v>
      </c>
      <c r="B597" t="s">
        <v>5199</v>
      </c>
      <c r="C597" t="s">
        <v>5200</v>
      </c>
      <c r="D597" t="s">
        <v>5252</v>
      </c>
      <c r="E597" t="s">
        <v>5253</v>
      </c>
      <c r="F597" t="s">
        <v>3547</v>
      </c>
      <c r="G597" t="s">
        <v>5254</v>
      </c>
    </row>
    <row r="598" spans="1:7" ht="11.25" customHeight="1">
      <c r="A598" t="s">
        <v>16</v>
      </c>
      <c r="B598" t="s">
        <v>5199</v>
      </c>
      <c r="C598" t="s">
        <v>5200</v>
      </c>
      <c r="D598" t="s">
        <v>5255</v>
      </c>
      <c r="E598" t="s">
        <v>5256</v>
      </c>
      <c r="F598" t="s">
        <v>3547</v>
      </c>
      <c r="G598" t="s">
        <v>5257</v>
      </c>
    </row>
    <row r="599" spans="1:7" ht="11.25" customHeight="1">
      <c r="A599" t="s">
        <v>16</v>
      </c>
      <c r="B599" t="s">
        <v>5199</v>
      </c>
      <c r="C599" t="s">
        <v>5200</v>
      </c>
      <c r="D599" t="s">
        <v>5258</v>
      </c>
      <c r="E599" t="s">
        <v>5259</v>
      </c>
      <c r="F599" t="s">
        <v>3547</v>
      </c>
      <c r="G599" t="s">
        <v>5260</v>
      </c>
    </row>
    <row r="600" spans="1:7" ht="11.25" customHeight="1">
      <c r="A600" t="s">
        <v>16</v>
      </c>
      <c r="B600" t="s">
        <v>5199</v>
      </c>
      <c r="C600" t="s">
        <v>5200</v>
      </c>
      <c r="D600" t="s">
        <v>5261</v>
      </c>
      <c r="E600" t="s">
        <v>5262</v>
      </c>
      <c r="F600" t="s">
        <v>3547</v>
      </c>
      <c r="G600" t="s">
        <v>5263</v>
      </c>
    </row>
    <row r="601" spans="1:7" ht="11.25" customHeight="1">
      <c r="A601" t="s">
        <v>16</v>
      </c>
      <c r="B601" t="s">
        <v>5199</v>
      </c>
      <c r="C601" t="s">
        <v>5200</v>
      </c>
      <c r="D601" t="s">
        <v>5264</v>
      </c>
      <c r="E601" t="s">
        <v>5265</v>
      </c>
      <c r="F601" t="s">
        <v>3547</v>
      </c>
      <c r="G601" t="s">
        <v>5266</v>
      </c>
    </row>
    <row r="602" spans="1:7" ht="11.25" customHeight="1">
      <c r="A602" t="s">
        <v>16</v>
      </c>
      <c r="B602" t="s">
        <v>5199</v>
      </c>
      <c r="C602" t="s">
        <v>5200</v>
      </c>
      <c r="D602" t="s">
        <v>5267</v>
      </c>
      <c r="E602" t="s">
        <v>5268</v>
      </c>
      <c r="F602" t="s">
        <v>3547</v>
      </c>
      <c r="G602" t="s">
        <v>5269</v>
      </c>
    </row>
    <row r="603" spans="1:7" ht="11.25" customHeight="1">
      <c r="A603" t="s">
        <v>16</v>
      </c>
      <c r="B603" t="s">
        <v>5199</v>
      </c>
      <c r="C603" t="s">
        <v>5200</v>
      </c>
      <c r="D603" t="s">
        <v>5270</v>
      </c>
      <c r="E603" t="s">
        <v>5271</v>
      </c>
      <c r="F603" t="s">
        <v>3547</v>
      </c>
      <c r="G603" t="s">
        <v>5272</v>
      </c>
    </row>
    <row r="604" spans="1:7" ht="11.25" customHeight="1">
      <c r="A604" t="s">
        <v>16</v>
      </c>
      <c r="B604" t="s">
        <v>5199</v>
      </c>
      <c r="C604" t="s">
        <v>5200</v>
      </c>
      <c r="D604" t="s">
        <v>5273</v>
      </c>
      <c r="E604" t="s">
        <v>5274</v>
      </c>
      <c r="F604" t="s">
        <v>3547</v>
      </c>
      <c r="G604" t="s">
        <v>5275</v>
      </c>
    </row>
    <row r="605" spans="1:7" ht="11.25" customHeight="1">
      <c r="A605" t="s">
        <v>16</v>
      </c>
      <c r="B605" t="s">
        <v>5199</v>
      </c>
      <c r="C605" t="s">
        <v>5200</v>
      </c>
      <c r="D605" t="s">
        <v>5276</v>
      </c>
      <c r="E605" t="s">
        <v>5277</v>
      </c>
      <c r="F605" t="s">
        <v>3547</v>
      </c>
      <c r="G605" t="s">
        <v>5278</v>
      </c>
    </row>
    <row r="606" spans="1:7" ht="11.25" customHeight="1">
      <c r="A606" t="s">
        <v>16</v>
      </c>
      <c r="B606" t="s">
        <v>5199</v>
      </c>
      <c r="C606" t="s">
        <v>5200</v>
      </c>
      <c r="D606" t="s">
        <v>5279</v>
      </c>
      <c r="E606" t="s">
        <v>5280</v>
      </c>
      <c r="F606" t="s">
        <v>3547</v>
      </c>
      <c r="G606" t="s">
        <v>5281</v>
      </c>
    </row>
    <row r="607" spans="1:7" ht="11.25" customHeight="1">
      <c r="A607" t="s">
        <v>16</v>
      </c>
      <c r="B607" t="s">
        <v>5199</v>
      </c>
      <c r="C607" t="s">
        <v>5200</v>
      </c>
      <c r="D607" t="s">
        <v>5282</v>
      </c>
      <c r="E607" t="s">
        <v>5283</v>
      </c>
      <c r="F607" t="s">
        <v>3547</v>
      </c>
      <c r="G607" t="s">
        <v>5284</v>
      </c>
    </row>
    <row r="608" spans="1:7" ht="11.25" customHeight="1">
      <c r="A608" t="s">
        <v>16</v>
      </c>
      <c r="B608" t="s">
        <v>5199</v>
      </c>
      <c r="C608" t="s">
        <v>5200</v>
      </c>
      <c r="D608" t="s">
        <v>5285</v>
      </c>
      <c r="E608" t="s">
        <v>5286</v>
      </c>
      <c r="F608" t="s">
        <v>3547</v>
      </c>
      <c r="G608" t="s">
        <v>5287</v>
      </c>
    </row>
    <row r="609" spans="1:7" ht="11.25" customHeight="1">
      <c r="A609" t="s">
        <v>16</v>
      </c>
      <c r="B609" t="s">
        <v>5288</v>
      </c>
      <c r="C609" t="s">
        <v>5289</v>
      </c>
      <c r="D609" t="s">
        <v>5290</v>
      </c>
      <c r="E609" t="s">
        <v>5291</v>
      </c>
      <c r="F609" t="s">
        <v>3547</v>
      </c>
      <c r="G609" t="s">
        <v>5292</v>
      </c>
    </row>
    <row r="610" spans="1:7" ht="11.25" customHeight="1">
      <c r="A610" t="s">
        <v>16</v>
      </c>
      <c r="B610" t="s">
        <v>5288</v>
      </c>
      <c r="C610" t="s">
        <v>5289</v>
      </c>
      <c r="D610" t="s">
        <v>5293</v>
      </c>
      <c r="E610" t="s">
        <v>5294</v>
      </c>
      <c r="F610" t="s">
        <v>3547</v>
      </c>
      <c r="G610" t="s">
        <v>5295</v>
      </c>
    </row>
    <row r="611" spans="1:7" ht="11.25" customHeight="1">
      <c r="A611" t="s">
        <v>16</v>
      </c>
      <c r="B611" t="s">
        <v>5288</v>
      </c>
      <c r="C611" t="s">
        <v>5289</v>
      </c>
      <c r="D611" t="s">
        <v>5296</v>
      </c>
      <c r="E611" t="s">
        <v>5297</v>
      </c>
      <c r="F611" t="s">
        <v>3547</v>
      </c>
      <c r="G611" t="s">
        <v>5298</v>
      </c>
    </row>
    <row r="612" spans="1:7" ht="11.25" customHeight="1">
      <c r="A612" t="s">
        <v>16</v>
      </c>
      <c r="B612" t="s">
        <v>5288</v>
      </c>
      <c r="C612" t="s">
        <v>5289</v>
      </c>
      <c r="D612" t="s">
        <v>5299</v>
      </c>
      <c r="E612" t="s">
        <v>5300</v>
      </c>
      <c r="F612" t="s">
        <v>3552</v>
      </c>
      <c r="G612" t="s">
        <v>5301</v>
      </c>
    </row>
    <row r="613" spans="1:7" ht="11.25" customHeight="1">
      <c r="A613" t="s">
        <v>16</v>
      </c>
      <c r="B613" t="s">
        <v>5288</v>
      </c>
      <c r="C613" t="s">
        <v>5289</v>
      </c>
      <c r="D613" t="s">
        <v>5302</v>
      </c>
      <c r="E613" t="s">
        <v>5303</v>
      </c>
      <c r="F613" t="s">
        <v>3547</v>
      </c>
      <c r="G613" t="s">
        <v>5304</v>
      </c>
    </row>
    <row r="614" spans="1:7" ht="11.25" customHeight="1">
      <c r="A614" t="s">
        <v>16</v>
      </c>
      <c r="B614" t="s">
        <v>5288</v>
      </c>
      <c r="C614" t="s">
        <v>5289</v>
      </c>
      <c r="D614" t="s">
        <v>5305</v>
      </c>
      <c r="E614" t="s">
        <v>5306</v>
      </c>
      <c r="F614" t="s">
        <v>3547</v>
      </c>
      <c r="G614" t="s">
        <v>5307</v>
      </c>
    </row>
    <row r="615" spans="1:7" ht="11.25" customHeight="1">
      <c r="A615" t="s">
        <v>16</v>
      </c>
      <c r="B615" t="s">
        <v>5288</v>
      </c>
      <c r="C615" t="s">
        <v>5289</v>
      </c>
      <c r="D615" t="s">
        <v>5308</v>
      </c>
      <c r="E615" t="s">
        <v>5309</v>
      </c>
      <c r="F615" t="s">
        <v>3547</v>
      </c>
      <c r="G615" t="s">
        <v>5310</v>
      </c>
    </row>
    <row r="616" spans="1:7" ht="11.25" customHeight="1">
      <c r="A616" t="s">
        <v>16</v>
      </c>
      <c r="B616" t="s">
        <v>5288</v>
      </c>
      <c r="C616" t="s">
        <v>5289</v>
      </c>
      <c r="D616" t="s">
        <v>5288</v>
      </c>
      <c r="E616" t="s">
        <v>5289</v>
      </c>
      <c r="F616" t="s">
        <v>3544</v>
      </c>
      <c r="G616" t="s">
        <v>5311</v>
      </c>
    </row>
    <row r="617" spans="1:7" ht="11.25" customHeight="1">
      <c r="A617" t="s">
        <v>16</v>
      </c>
      <c r="B617" t="s">
        <v>5288</v>
      </c>
      <c r="C617" t="s">
        <v>5289</v>
      </c>
      <c r="D617" t="s">
        <v>5312</v>
      </c>
      <c r="E617" t="s">
        <v>5313</v>
      </c>
      <c r="F617" t="s">
        <v>3547</v>
      </c>
      <c r="G617" t="s">
        <v>5314</v>
      </c>
    </row>
    <row r="618" spans="1:7" ht="11.25" customHeight="1">
      <c r="A618" t="s">
        <v>16</v>
      </c>
      <c r="B618" t="s">
        <v>5288</v>
      </c>
      <c r="C618" t="s">
        <v>5289</v>
      </c>
      <c r="D618" t="s">
        <v>5315</v>
      </c>
      <c r="E618" t="s">
        <v>5316</v>
      </c>
      <c r="F618" t="s">
        <v>3547</v>
      </c>
      <c r="G618" t="s">
        <v>5317</v>
      </c>
    </row>
    <row r="619" spans="1:7" ht="11.25" customHeight="1">
      <c r="A619" t="s">
        <v>16</v>
      </c>
      <c r="B619" t="s">
        <v>5288</v>
      </c>
      <c r="C619" t="s">
        <v>5289</v>
      </c>
      <c r="D619" t="s">
        <v>5318</v>
      </c>
      <c r="E619" t="s">
        <v>5319</v>
      </c>
      <c r="F619" t="s">
        <v>3547</v>
      </c>
      <c r="G619" t="s">
        <v>5320</v>
      </c>
    </row>
    <row r="620" spans="1:7" ht="11.25" customHeight="1">
      <c r="A620" t="s">
        <v>16</v>
      </c>
      <c r="B620" t="s">
        <v>5288</v>
      </c>
      <c r="C620" t="s">
        <v>5289</v>
      </c>
      <c r="D620" t="s">
        <v>5321</v>
      </c>
      <c r="E620" t="s">
        <v>5322</v>
      </c>
      <c r="F620" t="s">
        <v>3547</v>
      </c>
      <c r="G620" t="s">
        <v>5323</v>
      </c>
    </row>
    <row r="621" spans="1:7" ht="11.25" customHeight="1">
      <c r="A621" t="s">
        <v>16</v>
      </c>
      <c r="B621" t="s">
        <v>5288</v>
      </c>
      <c r="C621" t="s">
        <v>5289</v>
      </c>
      <c r="D621" t="s">
        <v>5324</v>
      </c>
      <c r="E621" t="s">
        <v>5325</v>
      </c>
      <c r="F621" t="s">
        <v>3547</v>
      </c>
      <c r="G621" t="s">
        <v>5326</v>
      </c>
    </row>
    <row r="622" spans="1:7" ht="11.25" customHeight="1">
      <c r="A622" t="s">
        <v>16</v>
      </c>
      <c r="B622" t="s">
        <v>5288</v>
      </c>
      <c r="C622" t="s">
        <v>5289</v>
      </c>
      <c r="D622" t="s">
        <v>5327</v>
      </c>
      <c r="E622" t="s">
        <v>5328</v>
      </c>
      <c r="F622" t="s">
        <v>3547</v>
      </c>
      <c r="G622" t="s">
        <v>5329</v>
      </c>
    </row>
    <row r="623" spans="1:7" ht="11.25" customHeight="1">
      <c r="A623" t="s">
        <v>16</v>
      </c>
      <c r="B623" t="s">
        <v>5288</v>
      </c>
      <c r="C623" t="s">
        <v>5289</v>
      </c>
      <c r="D623" t="s">
        <v>5330</v>
      </c>
      <c r="E623" t="s">
        <v>5331</v>
      </c>
      <c r="F623" t="s">
        <v>3547</v>
      </c>
      <c r="G623" t="s">
        <v>5332</v>
      </c>
    </row>
    <row r="624" spans="1:7" ht="11.25" customHeight="1">
      <c r="A624" t="s">
        <v>16</v>
      </c>
      <c r="B624" t="s">
        <v>5288</v>
      </c>
      <c r="C624" t="s">
        <v>5289</v>
      </c>
      <c r="D624" t="s">
        <v>5333</v>
      </c>
      <c r="E624" t="s">
        <v>5334</v>
      </c>
      <c r="F624" t="s">
        <v>3547</v>
      </c>
      <c r="G624" t="s">
        <v>5335</v>
      </c>
    </row>
    <row r="625" spans="1:7" ht="11.25" customHeight="1">
      <c r="A625" t="s">
        <v>16</v>
      </c>
      <c r="B625" t="s">
        <v>5336</v>
      </c>
      <c r="C625" t="s">
        <v>5337</v>
      </c>
      <c r="D625" t="s">
        <v>5338</v>
      </c>
      <c r="E625" t="s">
        <v>5339</v>
      </c>
      <c r="F625" t="s">
        <v>3547</v>
      </c>
      <c r="G625" t="s">
        <v>5340</v>
      </c>
    </row>
    <row r="626" spans="1:7" ht="11.25" customHeight="1">
      <c r="A626" t="s">
        <v>16</v>
      </c>
      <c r="B626" t="s">
        <v>5336</v>
      </c>
      <c r="C626" t="s">
        <v>5337</v>
      </c>
      <c r="D626" t="s">
        <v>5341</v>
      </c>
      <c r="E626" t="s">
        <v>5342</v>
      </c>
      <c r="F626" t="s">
        <v>3547</v>
      </c>
      <c r="G626" t="s">
        <v>5343</v>
      </c>
    </row>
    <row r="627" spans="1:7" ht="11.25" customHeight="1">
      <c r="A627" t="s">
        <v>16</v>
      </c>
      <c r="B627" t="s">
        <v>5336</v>
      </c>
      <c r="C627" t="s">
        <v>5337</v>
      </c>
      <c r="D627" t="s">
        <v>5344</v>
      </c>
      <c r="E627" t="s">
        <v>5345</v>
      </c>
      <c r="F627" t="s">
        <v>3547</v>
      </c>
      <c r="G627" t="s">
        <v>5346</v>
      </c>
    </row>
    <row r="628" spans="1:7" ht="11.25" customHeight="1">
      <c r="A628" t="s">
        <v>16</v>
      </c>
      <c r="B628" t="s">
        <v>5336</v>
      </c>
      <c r="C628" t="s">
        <v>5337</v>
      </c>
      <c r="D628" t="s">
        <v>5347</v>
      </c>
      <c r="E628" t="s">
        <v>5348</v>
      </c>
      <c r="F628" t="s">
        <v>3547</v>
      </c>
      <c r="G628" t="s">
        <v>5349</v>
      </c>
    </row>
    <row r="629" spans="1:7" ht="11.25" customHeight="1">
      <c r="A629" t="s">
        <v>16</v>
      </c>
      <c r="B629" t="s">
        <v>5336</v>
      </c>
      <c r="C629" t="s">
        <v>5337</v>
      </c>
      <c r="D629" t="s">
        <v>5350</v>
      </c>
      <c r="E629" t="s">
        <v>5351</v>
      </c>
      <c r="F629" t="s">
        <v>3552</v>
      </c>
      <c r="G629" t="s">
        <v>5352</v>
      </c>
    </row>
    <row r="630" spans="1:7" ht="11.25" customHeight="1">
      <c r="A630" t="s">
        <v>16</v>
      </c>
      <c r="B630" t="s">
        <v>5336</v>
      </c>
      <c r="C630" t="s">
        <v>5337</v>
      </c>
      <c r="D630" t="s">
        <v>5353</v>
      </c>
      <c r="E630" t="s">
        <v>5354</v>
      </c>
      <c r="F630" t="s">
        <v>3547</v>
      </c>
      <c r="G630" t="s">
        <v>5355</v>
      </c>
    </row>
    <row r="631" spans="1:7" ht="11.25" customHeight="1">
      <c r="A631" t="s">
        <v>16</v>
      </c>
      <c r="B631" t="s">
        <v>5336</v>
      </c>
      <c r="C631" t="s">
        <v>5337</v>
      </c>
      <c r="D631" t="s">
        <v>3559</v>
      </c>
      <c r="E631" t="s">
        <v>5356</v>
      </c>
      <c r="F631" t="s">
        <v>3547</v>
      </c>
      <c r="G631" t="s">
        <v>5357</v>
      </c>
    </row>
    <row r="632" spans="1:7" ht="11.25" customHeight="1">
      <c r="A632" t="s">
        <v>16</v>
      </c>
      <c r="B632" t="s">
        <v>5336</v>
      </c>
      <c r="C632" t="s">
        <v>5337</v>
      </c>
      <c r="D632" t="s">
        <v>5358</v>
      </c>
      <c r="E632" t="s">
        <v>5359</v>
      </c>
      <c r="F632" t="s">
        <v>3547</v>
      </c>
      <c r="G632" t="s">
        <v>5360</v>
      </c>
    </row>
    <row r="633" spans="1:7" ht="11.25" customHeight="1">
      <c r="A633" t="s">
        <v>16</v>
      </c>
      <c r="B633" t="s">
        <v>5336</v>
      </c>
      <c r="C633" t="s">
        <v>5337</v>
      </c>
      <c r="D633" t="s">
        <v>5361</v>
      </c>
      <c r="E633" t="s">
        <v>5362</v>
      </c>
      <c r="F633" t="s">
        <v>3547</v>
      </c>
      <c r="G633" t="s">
        <v>5363</v>
      </c>
    </row>
    <row r="634" spans="1:7" ht="11.25" customHeight="1">
      <c r="A634" t="s">
        <v>16</v>
      </c>
      <c r="B634" t="s">
        <v>5336</v>
      </c>
      <c r="C634" t="s">
        <v>5337</v>
      </c>
      <c r="D634" t="s">
        <v>5336</v>
      </c>
      <c r="E634" t="s">
        <v>5337</v>
      </c>
      <c r="F634" t="s">
        <v>3544</v>
      </c>
      <c r="G634" t="s">
        <v>5364</v>
      </c>
    </row>
    <row r="635" spans="1:7" ht="11.25" customHeight="1">
      <c r="A635" t="s">
        <v>16</v>
      </c>
      <c r="B635" t="s">
        <v>5336</v>
      </c>
      <c r="C635" t="s">
        <v>5337</v>
      </c>
      <c r="D635" t="s">
        <v>5365</v>
      </c>
      <c r="E635" t="s">
        <v>5366</v>
      </c>
      <c r="F635" t="s">
        <v>3547</v>
      </c>
      <c r="G635" t="s">
        <v>5367</v>
      </c>
    </row>
    <row r="636" spans="1:7" ht="11.25" customHeight="1">
      <c r="A636" t="s">
        <v>16</v>
      </c>
      <c r="B636" t="s">
        <v>5336</v>
      </c>
      <c r="C636" t="s">
        <v>5337</v>
      </c>
      <c r="D636" t="s">
        <v>5368</v>
      </c>
      <c r="E636" t="s">
        <v>5369</v>
      </c>
      <c r="F636" t="s">
        <v>3547</v>
      </c>
      <c r="G636" t="s">
        <v>5370</v>
      </c>
    </row>
    <row r="637" spans="1:7" ht="11.25" customHeight="1">
      <c r="A637" t="s">
        <v>16</v>
      </c>
      <c r="B637" t="s">
        <v>5336</v>
      </c>
      <c r="C637" t="s">
        <v>5337</v>
      </c>
      <c r="D637" t="s">
        <v>5371</v>
      </c>
      <c r="E637" t="s">
        <v>5372</v>
      </c>
      <c r="F637" t="s">
        <v>3547</v>
      </c>
      <c r="G637" t="s">
        <v>5373</v>
      </c>
    </row>
    <row r="638" spans="1:7" ht="11.25" customHeight="1">
      <c r="A638" t="s">
        <v>16</v>
      </c>
      <c r="B638" t="s">
        <v>5336</v>
      </c>
      <c r="C638" t="s">
        <v>5337</v>
      </c>
      <c r="D638" t="s">
        <v>5374</v>
      </c>
      <c r="E638" t="s">
        <v>5375</v>
      </c>
      <c r="F638" t="s">
        <v>3547</v>
      </c>
      <c r="G638" t="s">
        <v>5376</v>
      </c>
    </row>
    <row r="639" spans="1:7" ht="11.25" customHeight="1">
      <c r="A639" t="s">
        <v>16</v>
      </c>
      <c r="B639" t="s">
        <v>5336</v>
      </c>
      <c r="C639" t="s">
        <v>5337</v>
      </c>
      <c r="D639" t="s">
        <v>5377</v>
      </c>
      <c r="E639" t="s">
        <v>5378</v>
      </c>
      <c r="F639" t="s">
        <v>3547</v>
      </c>
      <c r="G639" t="s">
        <v>5379</v>
      </c>
    </row>
    <row r="640" spans="1:7" ht="11.25" customHeight="1">
      <c r="A640" t="s">
        <v>16</v>
      </c>
      <c r="B640" t="s">
        <v>5336</v>
      </c>
      <c r="C640" t="s">
        <v>5337</v>
      </c>
      <c r="D640" t="s">
        <v>5380</v>
      </c>
      <c r="E640" t="s">
        <v>5381</v>
      </c>
      <c r="F640" t="s">
        <v>3547</v>
      </c>
      <c r="G640" t="s">
        <v>5382</v>
      </c>
    </row>
    <row r="641" spans="1:7" ht="11.25" customHeight="1">
      <c r="A641" t="s">
        <v>16</v>
      </c>
      <c r="B641" t="s">
        <v>5336</v>
      </c>
      <c r="C641" t="s">
        <v>5337</v>
      </c>
      <c r="D641" t="s">
        <v>5383</v>
      </c>
      <c r="E641" t="s">
        <v>5384</v>
      </c>
      <c r="F641" t="s">
        <v>3547</v>
      </c>
      <c r="G641" t="s">
        <v>5385</v>
      </c>
    </row>
    <row r="642" spans="1:7" ht="11.25" customHeight="1">
      <c r="A642" t="s">
        <v>16</v>
      </c>
      <c r="B642" t="s">
        <v>5336</v>
      </c>
      <c r="C642" t="s">
        <v>5337</v>
      </c>
      <c r="D642" t="s">
        <v>5386</v>
      </c>
      <c r="E642" t="s">
        <v>5387</v>
      </c>
      <c r="F642" t="s">
        <v>3547</v>
      </c>
      <c r="G642" t="s">
        <v>5388</v>
      </c>
    </row>
    <row r="643" spans="1:7" ht="11.25" customHeight="1">
      <c r="A643" t="s">
        <v>16</v>
      </c>
      <c r="B643" t="s">
        <v>5336</v>
      </c>
      <c r="C643" t="s">
        <v>5337</v>
      </c>
      <c r="D643" t="s">
        <v>5389</v>
      </c>
      <c r="E643" t="s">
        <v>5390</v>
      </c>
      <c r="F643" t="s">
        <v>3547</v>
      </c>
      <c r="G643" t="s">
        <v>5391</v>
      </c>
    </row>
    <row r="644" spans="1:7" ht="11.25" customHeight="1">
      <c r="A644" t="s">
        <v>16</v>
      </c>
      <c r="B644" t="s">
        <v>5336</v>
      </c>
      <c r="C644" t="s">
        <v>5337</v>
      </c>
      <c r="D644" t="s">
        <v>5392</v>
      </c>
      <c r="E644" t="s">
        <v>5393</v>
      </c>
      <c r="F644" t="s">
        <v>3547</v>
      </c>
      <c r="G644" t="s">
        <v>5394</v>
      </c>
    </row>
    <row r="645" spans="1:7" ht="11.25" customHeight="1">
      <c r="A645" t="s">
        <v>16</v>
      </c>
      <c r="B645" t="s">
        <v>5336</v>
      </c>
      <c r="C645" t="s">
        <v>5337</v>
      </c>
      <c r="D645" t="s">
        <v>5395</v>
      </c>
      <c r="E645" t="s">
        <v>5396</v>
      </c>
      <c r="F645" t="s">
        <v>3547</v>
      </c>
      <c r="G645" t="s">
        <v>5397</v>
      </c>
    </row>
    <row r="646" spans="1:7" ht="11.25" customHeight="1">
      <c r="A646" t="s">
        <v>16</v>
      </c>
      <c r="B646" t="s">
        <v>5398</v>
      </c>
      <c r="C646" t="s">
        <v>5399</v>
      </c>
      <c r="D646" t="s">
        <v>5400</v>
      </c>
      <c r="E646" t="s">
        <v>5401</v>
      </c>
      <c r="F646" t="s">
        <v>3547</v>
      </c>
      <c r="G646" t="s">
        <v>5402</v>
      </c>
    </row>
    <row r="647" spans="1:7" ht="11.25" customHeight="1">
      <c r="A647" t="s">
        <v>16</v>
      </c>
      <c r="B647" t="s">
        <v>5398</v>
      </c>
      <c r="C647" t="s">
        <v>5399</v>
      </c>
      <c r="D647" t="s">
        <v>5403</v>
      </c>
      <c r="E647" t="s">
        <v>5404</v>
      </c>
      <c r="F647" t="s">
        <v>3547</v>
      </c>
      <c r="G647" t="s">
        <v>5405</v>
      </c>
    </row>
    <row r="648" spans="1:7" ht="11.25" customHeight="1">
      <c r="A648" t="s">
        <v>16</v>
      </c>
      <c r="B648" t="s">
        <v>5398</v>
      </c>
      <c r="C648" t="s">
        <v>5399</v>
      </c>
      <c r="D648" t="s">
        <v>5406</v>
      </c>
      <c r="E648" t="s">
        <v>5407</v>
      </c>
      <c r="F648" t="s">
        <v>3547</v>
      </c>
      <c r="G648" t="s">
        <v>5408</v>
      </c>
    </row>
    <row r="649" spans="1:7" ht="11.25" customHeight="1">
      <c r="A649" t="s">
        <v>16</v>
      </c>
      <c r="B649" t="s">
        <v>5398</v>
      </c>
      <c r="C649" t="s">
        <v>5399</v>
      </c>
      <c r="D649" t="s">
        <v>5409</v>
      </c>
      <c r="E649" t="s">
        <v>5410</v>
      </c>
      <c r="F649" t="s">
        <v>3547</v>
      </c>
      <c r="G649" t="s">
        <v>5411</v>
      </c>
    </row>
    <row r="650" spans="1:7" ht="11.25" customHeight="1">
      <c r="A650" t="s">
        <v>16</v>
      </c>
      <c r="B650" t="s">
        <v>5398</v>
      </c>
      <c r="C650" t="s">
        <v>5399</v>
      </c>
      <c r="D650" t="s">
        <v>5412</v>
      </c>
      <c r="E650" t="s">
        <v>5413</v>
      </c>
      <c r="F650" t="s">
        <v>3547</v>
      </c>
      <c r="G650" t="s">
        <v>5414</v>
      </c>
    </row>
    <row r="651" spans="1:7" ht="11.25" customHeight="1">
      <c r="A651" t="s">
        <v>16</v>
      </c>
      <c r="B651" t="s">
        <v>5398</v>
      </c>
      <c r="C651" t="s">
        <v>5399</v>
      </c>
      <c r="D651" t="s">
        <v>5415</v>
      </c>
      <c r="E651" t="s">
        <v>5416</v>
      </c>
      <c r="F651" t="s">
        <v>3547</v>
      </c>
      <c r="G651" t="s">
        <v>5417</v>
      </c>
    </row>
    <row r="652" spans="1:7" ht="11.25" customHeight="1">
      <c r="A652" t="s">
        <v>16</v>
      </c>
      <c r="B652" t="s">
        <v>5398</v>
      </c>
      <c r="C652" t="s">
        <v>5399</v>
      </c>
      <c r="D652" t="s">
        <v>5418</v>
      </c>
      <c r="E652" t="s">
        <v>5419</v>
      </c>
      <c r="F652" t="s">
        <v>3547</v>
      </c>
      <c r="G652" t="s">
        <v>5420</v>
      </c>
    </row>
    <row r="653" spans="1:7" ht="11.25" customHeight="1">
      <c r="A653" t="s">
        <v>16</v>
      </c>
      <c r="B653" t="s">
        <v>5398</v>
      </c>
      <c r="C653" t="s">
        <v>5399</v>
      </c>
      <c r="D653" t="s">
        <v>5421</v>
      </c>
      <c r="E653" t="s">
        <v>5422</v>
      </c>
      <c r="F653" t="s">
        <v>3547</v>
      </c>
      <c r="G653" t="s">
        <v>5423</v>
      </c>
    </row>
    <row r="654" spans="1:7" ht="11.25" customHeight="1">
      <c r="A654" t="s">
        <v>16</v>
      </c>
      <c r="B654" t="s">
        <v>5398</v>
      </c>
      <c r="C654" t="s">
        <v>5399</v>
      </c>
      <c r="D654" t="s">
        <v>5424</v>
      </c>
      <c r="E654" t="s">
        <v>5425</v>
      </c>
      <c r="F654" t="s">
        <v>3547</v>
      </c>
      <c r="G654" t="s">
        <v>5426</v>
      </c>
    </row>
    <row r="655" spans="1:7" ht="11.25" customHeight="1">
      <c r="A655" t="s">
        <v>16</v>
      </c>
      <c r="B655" t="s">
        <v>5398</v>
      </c>
      <c r="C655" t="s">
        <v>5399</v>
      </c>
      <c r="D655" t="s">
        <v>5427</v>
      </c>
      <c r="E655" t="s">
        <v>5428</v>
      </c>
      <c r="F655" t="s">
        <v>3547</v>
      </c>
      <c r="G655" t="s">
        <v>5429</v>
      </c>
    </row>
    <row r="656" spans="1:7" ht="11.25" customHeight="1">
      <c r="A656" t="s">
        <v>16</v>
      </c>
      <c r="B656" t="s">
        <v>5398</v>
      </c>
      <c r="C656" t="s">
        <v>5399</v>
      </c>
      <c r="D656" t="s">
        <v>5398</v>
      </c>
      <c r="E656" t="s">
        <v>5399</v>
      </c>
      <c r="F656" t="s">
        <v>3544</v>
      </c>
      <c r="G656" t="s">
        <v>5430</v>
      </c>
    </row>
    <row r="657" spans="1:7" ht="11.25" customHeight="1">
      <c r="A657" t="s">
        <v>16</v>
      </c>
      <c r="B657" t="s">
        <v>5398</v>
      </c>
      <c r="C657" t="s">
        <v>5399</v>
      </c>
      <c r="D657" t="s">
        <v>5431</v>
      </c>
      <c r="E657" t="s">
        <v>5432</v>
      </c>
      <c r="F657" t="s">
        <v>3547</v>
      </c>
      <c r="G657" t="s">
        <v>5433</v>
      </c>
    </row>
    <row r="658" spans="1:7" ht="11.25" customHeight="1">
      <c r="A658" t="s">
        <v>16</v>
      </c>
      <c r="B658" t="s">
        <v>5398</v>
      </c>
      <c r="C658" t="s">
        <v>5399</v>
      </c>
      <c r="D658" t="s">
        <v>5434</v>
      </c>
      <c r="E658" t="s">
        <v>5435</v>
      </c>
      <c r="F658" t="s">
        <v>3547</v>
      </c>
      <c r="G658" t="s">
        <v>5436</v>
      </c>
    </row>
    <row r="659" spans="1:7" ht="11.25" customHeight="1">
      <c r="A659" t="s">
        <v>16</v>
      </c>
      <c r="B659" t="s">
        <v>5398</v>
      </c>
      <c r="C659" t="s">
        <v>5399</v>
      </c>
      <c r="D659" t="s">
        <v>5437</v>
      </c>
      <c r="E659" t="s">
        <v>5438</v>
      </c>
      <c r="F659" t="s">
        <v>3547</v>
      </c>
      <c r="G659" t="s">
        <v>5439</v>
      </c>
    </row>
    <row r="660" spans="1:7" ht="11.25" customHeight="1">
      <c r="A660" t="s">
        <v>16</v>
      </c>
      <c r="B660" t="s">
        <v>5398</v>
      </c>
      <c r="C660" t="s">
        <v>5399</v>
      </c>
      <c r="D660" t="s">
        <v>4491</v>
      </c>
      <c r="E660" t="s">
        <v>5440</v>
      </c>
      <c r="F660" t="s">
        <v>3547</v>
      </c>
      <c r="G660" t="s">
        <v>5441</v>
      </c>
    </row>
    <row r="661" spans="1:7" ht="11.25" customHeight="1">
      <c r="A661" t="s">
        <v>16</v>
      </c>
      <c r="B661" t="s">
        <v>5398</v>
      </c>
      <c r="C661" t="s">
        <v>5399</v>
      </c>
      <c r="D661" t="s">
        <v>5442</v>
      </c>
      <c r="E661" t="s">
        <v>5443</v>
      </c>
      <c r="F661" t="s">
        <v>3547</v>
      </c>
      <c r="G661" t="s">
        <v>5444</v>
      </c>
    </row>
    <row r="662" spans="1:7" ht="11.25" customHeight="1">
      <c r="A662" t="s">
        <v>16</v>
      </c>
      <c r="B662" t="s">
        <v>5398</v>
      </c>
      <c r="C662" t="s">
        <v>5399</v>
      </c>
      <c r="D662" t="s">
        <v>5445</v>
      </c>
      <c r="E662" t="s">
        <v>5446</v>
      </c>
      <c r="F662" t="s">
        <v>3547</v>
      </c>
      <c r="G662" t="s">
        <v>5447</v>
      </c>
    </row>
    <row r="663" spans="1:7" ht="11.25" customHeight="1">
      <c r="A663" t="s">
        <v>16</v>
      </c>
      <c r="B663" t="s">
        <v>5398</v>
      </c>
      <c r="C663" t="s">
        <v>5399</v>
      </c>
      <c r="D663" t="s">
        <v>5448</v>
      </c>
      <c r="E663" t="s">
        <v>5449</v>
      </c>
      <c r="F663" t="s">
        <v>3547</v>
      </c>
      <c r="G663" t="s">
        <v>5450</v>
      </c>
    </row>
    <row r="664" spans="1:7" ht="11.25" customHeight="1">
      <c r="A664" t="s">
        <v>16</v>
      </c>
      <c r="B664" t="s">
        <v>5398</v>
      </c>
      <c r="C664" t="s">
        <v>5399</v>
      </c>
      <c r="D664" t="s">
        <v>5451</v>
      </c>
      <c r="E664" t="s">
        <v>5452</v>
      </c>
      <c r="F664" t="s">
        <v>3547</v>
      </c>
      <c r="G664" t="s">
        <v>5453</v>
      </c>
    </row>
    <row r="665" spans="1:7" ht="11.25" customHeight="1">
      <c r="A665" t="s">
        <v>16</v>
      </c>
      <c r="B665" t="s">
        <v>5398</v>
      </c>
      <c r="C665" t="s">
        <v>5399</v>
      </c>
      <c r="D665" t="s">
        <v>5454</v>
      </c>
      <c r="E665" t="s">
        <v>5455</v>
      </c>
      <c r="F665" t="s">
        <v>3547</v>
      </c>
      <c r="G665" t="s">
        <v>5456</v>
      </c>
    </row>
    <row r="666" spans="1:7" ht="11.25" customHeight="1">
      <c r="A666" t="s">
        <v>16</v>
      </c>
      <c r="B666" t="s">
        <v>5457</v>
      </c>
      <c r="C666" t="s">
        <v>5458</v>
      </c>
      <c r="D666" t="s">
        <v>5459</v>
      </c>
      <c r="E666" t="s">
        <v>5460</v>
      </c>
      <c r="F666" t="s">
        <v>3547</v>
      </c>
      <c r="G666" t="s">
        <v>5461</v>
      </c>
    </row>
    <row r="667" spans="1:7" ht="11.25" customHeight="1">
      <c r="A667" t="s">
        <v>16</v>
      </c>
      <c r="B667" t="s">
        <v>5457</v>
      </c>
      <c r="C667" t="s">
        <v>5458</v>
      </c>
      <c r="D667" t="s">
        <v>5462</v>
      </c>
      <c r="E667" t="s">
        <v>5463</v>
      </c>
      <c r="F667" t="s">
        <v>3552</v>
      </c>
      <c r="G667" t="s">
        <v>5464</v>
      </c>
    </row>
    <row r="668" spans="1:7" ht="11.25" customHeight="1">
      <c r="A668" t="s">
        <v>16</v>
      </c>
      <c r="B668" t="s">
        <v>5457</v>
      </c>
      <c r="C668" t="s">
        <v>5458</v>
      </c>
      <c r="D668" t="s">
        <v>5465</v>
      </c>
      <c r="E668" t="s">
        <v>5466</v>
      </c>
      <c r="F668" t="s">
        <v>3547</v>
      </c>
      <c r="G668" t="s">
        <v>5467</v>
      </c>
    </row>
    <row r="669" spans="1:7" ht="11.25" customHeight="1">
      <c r="A669" t="s">
        <v>16</v>
      </c>
      <c r="B669" t="s">
        <v>5457</v>
      </c>
      <c r="C669" t="s">
        <v>5458</v>
      </c>
      <c r="D669" t="s">
        <v>5468</v>
      </c>
      <c r="E669" t="s">
        <v>5469</v>
      </c>
      <c r="F669" t="s">
        <v>3547</v>
      </c>
      <c r="G669" t="s">
        <v>5470</v>
      </c>
    </row>
    <row r="670" spans="1:7" ht="11.25" customHeight="1">
      <c r="A670" t="s">
        <v>16</v>
      </c>
      <c r="B670" t="s">
        <v>5457</v>
      </c>
      <c r="C670" t="s">
        <v>5458</v>
      </c>
      <c r="D670" t="s">
        <v>5471</v>
      </c>
      <c r="E670" t="s">
        <v>5472</v>
      </c>
      <c r="F670" t="s">
        <v>3547</v>
      </c>
      <c r="G670" t="s">
        <v>5473</v>
      </c>
    </row>
    <row r="671" spans="1:7" ht="11.25" customHeight="1">
      <c r="A671" t="s">
        <v>16</v>
      </c>
      <c r="B671" t="s">
        <v>5457</v>
      </c>
      <c r="C671" t="s">
        <v>5458</v>
      </c>
      <c r="D671" t="s">
        <v>5474</v>
      </c>
      <c r="E671" t="s">
        <v>5475</v>
      </c>
      <c r="F671" t="s">
        <v>3547</v>
      </c>
      <c r="G671" t="s">
        <v>5476</v>
      </c>
    </row>
    <row r="672" spans="1:7" ht="11.25" customHeight="1">
      <c r="A672" t="s">
        <v>16</v>
      </c>
      <c r="B672" t="s">
        <v>5457</v>
      </c>
      <c r="C672" t="s">
        <v>5458</v>
      </c>
      <c r="D672" t="s">
        <v>5477</v>
      </c>
      <c r="E672" t="s">
        <v>5478</v>
      </c>
      <c r="F672" t="s">
        <v>3547</v>
      </c>
      <c r="G672" t="s">
        <v>5479</v>
      </c>
    </row>
    <row r="673" spans="1:7" ht="11.25" customHeight="1">
      <c r="A673" t="s">
        <v>16</v>
      </c>
      <c r="B673" t="s">
        <v>5457</v>
      </c>
      <c r="C673" t="s">
        <v>5458</v>
      </c>
      <c r="D673" t="s">
        <v>5480</v>
      </c>
      <c r="E673" t="s">
        <v>5481</v>
      </c>
      <c r="F673" t="s">
        <v>3547</v>
      </c>
      <c r="G673" t="s">
        <v>5482</v>
      </c>
    </row>
    <row r="674" spans="1:7" ht="11.25" customHeight="1">
      <c r="A674" t="s">
        <v>16</v>
      </c>
      <c r="B674" t="s">
        <v>5457</v>
      </c>
      <c r="C674" t="s">
        <v>5458</v>
      </c>
      <c r="D674" t="s">
        <v>5077</v>
      </c>
      <c r="E674" t="s">
        <v>5483</v>
      </c>
      <c r="F674" t="s">
        <v>3547</v>
      </c>
      <c r="G674" t="s">
        <v>5484</v>
      </c>
    </row>
    <row r="675" spans="1:7" ht="11.25" customHeight="1">
      <c r="A675" t="s">
        <v>16</v>
      </c>
      <c r="B675" t="s">
        <v>5457</v>
      </c>
      <c r="C675" t="s">
        <v>5458</v>
      </c>
      <c r="D675" t="s">
        <v>5457</v>
      </c>
      <c r="E675" t="s">
        <v>5458</v>
      </c>
      <c r="F675" t="s">
        <v>3544</v>
      </c>
      <c r="G675" t="s">
        <v>5485</v>
      </c>
    </row>
    <row r="676" spans="1:7" ht="11.25" customHeight="1">
      <c r="A676" t="s">
        <v>16</v>
      </c>
      <c r="B676" t="s">
        <v>5457</v>
      </c>
      <c r="C676" t="s">
        <v>5458</v>
      </c>
      <c r="D676" t="s">
        <v>5486</v>
      </c>
      <c r="E676" t="s">
        <v>5487</v>
      </c>
      <c r="F676" t="s">
        <v>3547</v>
      </c>
      <c r="G676" t="s">
        <v>5488</v>
      </c>
    </row>
    <row r="677" spans="1:7" ht="11.25" customHeight="1">
      <c r="A677" t="s">
        <v>16</v>
      </c>
      <c r="B677" t="s">
        <v>5457</v>
      </c>
      <c r="C677" t="s">
        <v>5458</v>
      </c>
      <c r="D677" t="s">
        <v>5489</v>
      </c>
      <c r="E677" t="s">
        <v>5490</v>
      </c>
      <c r="F677" t="s">
        <v>3547</v>
      </c>
      <c r="G677" t="s">
        <v>5491</v>
      </c>
    </row>
    <row r="678" spans="1:7" ht="11.25" customHeight="1">
      <c r="A678" t="s">
        <v>16</v>
      </c>
      <c r="B678" t="s">
        <v>5457</v>
      </c>
      <c r="C678" t="s">
        <v>5458</v>
      </c>
      <c r="D678" t="s">
        <v>4271</v>
      </c>
      <c r="E678" t="s">
        <v>5492</v>
      </c>
      <c r="F678" t="s">
        <v>3547</v>
      </c>
      <c r="G678" t="s">
        <v>5493</v>
      </c>
    </row>
    <row r="679" spans="1:7" ht="11.25" customHeight="1">
      <c r="A679" t="s">
        <v>16</v>
      </c>
      <c r="B679" t="s">
        <v>5457</v>
      </c>
      <c r="C679" t="s">
        <v>5458</v>
      </c>
      <c r="D679" t="s">
        <v>5494</v>
      </c>
      <c r="E679" t="s">
        <v>5495</v>
      </c>
      <c r="F679" t="s">
        <v>3547</v>
      </c>
      <c r="G679" t="s">
        <v>5496</v>
      </c>
    </row>
    <row r="680" spans="1:7" ht="11.25" customHeight="1">
      <c r="A680" t="s">
        <v>16</v>
      </c>
      <c r="B680" t="s">
        <v>5457</v>
      </c>
      <c r="C680" t="s">
        <v>5458</v>
      </c>
      <c r="D680" t="s">
        <v>5497</v>
      </c>
      <c r="E680" t="s">
        <v>5498</v>
      </c>
      <c r="F680" t="s">
        <v>3547</v>
      </c>
      <c r="G680" t="s">
        <v>5499</v>
      </c>
    </row>
    <row r="681" spans="1:7" ht="11.25" customHeight="1">
      <c r="A681" t="s">
        <v>16</v>
      </c>
      <c r="B681" t="s">
        <v>5457</v>
      </c>
      <c r="C681" t="s">
        <v>5458</v>
      </c>
      <c r="D681" t="s">
        <v>5500</v>
      </c>
      <c r="E681" t="s">
        <v>5501</v>
      </c>
      <c r="F681" t="s">
        <v>3547</v>
      </c>
      <c r="G681" t="s">
        <v>5502</v>
      </c>
    </row>
    <row r="682" spans="1:7" ht="11.25" customHeight="1">
      <c r="A682" t="s">
        <v>16</v>
      </c>
      <c r="B682" t="s">
        <v>5457</v>
      </c>
      <c r="C682" t="s">
        <v>5458</v>
      </c>
      <c r="D682" t="s">
        <v>5503</v>
      </c>
      <c r="E682" t="s">
        <v>5504</v>
      </c>
      <c r="F682" t="s">
        <v>3547</v>
      </c>
      <c r="G682" t="s">
        <v>5505</v>
      </c>
    </row>
    <row r="683" spans="1:7" ht="11.25" customHeight="1">
      <c r="A683" t="s">
        <v>16</v>
      </c>
      <c r="B683" t="s">
        <v>5457</v>
      </c>
      <c r="C683" t="s">
        <v>5458</v>
      </c>
      <c r="D683" t="s">
        <v>5506</v>
      </c>
      <c r="E683" t="s">
        <v>5507</v>
      </c>
      <c r="F683" t="s">
        <v>3649</v>
      </c>
      <c r="G683" t="s">
        <v>5508</v>
      </c>
    </row>
    <row r="684" spans="1:7" ht="11.25" customHeight="1">
      <c r="A684" t="s">
        <v>16</v>
      </c>
      <c r="B684" t="s">
        <v>5509</v>
      </c>
      <c r="C684" t="s">
        <v>5510</v>
      </c>
      <c r="D684" t="s">
        <v>5511</v>
      </c>
      <c r="E684" t="s">
        <v>5512</v>
      </c>
      <c r="F684" t="s">
        <v>3547</v>
      </c>
      <c r="G684" t="s">
        <v>5513</v>
      </c>
    </row>
    <row r="685" spans="1:7" ht="11.25" customHeight="1">
      <c r="A685" t="s">
        <v>16</v>
      </c>
      <c r="B685" t="s">
        <v>5509</v>
      </c>
      <c r="C685" t="s">
        <v>5510</v>
      </c>
      <c r="D685" t="s">
        <v>5514</v>
      </c>
      <c r="E685" t="s">
        <v>5515</v>
      </c>
      <c r="F685" t="s">
        <v>3547</v>
      </c>
      <c r="G685" t="s">
        <v>5516</v>
      </c>
    </row>
    <row r="686" spans="1:7" ht="11.25" customHeight="1">
      <c r="A686" t="s">
        <v>16</v>
      </c>
      <c r="B686" t="s">
        <v>5509</v>
      </c>
      <c r="C686" t="s">
        <v>5510</v>
      </c>
      <c r="D686" t="s">
        <v>5517</v>
      </c>
      <c r="E686" t="s">
        <v>5518</v>
      </c>
      <c r="F686" t="s">
        <v>3547</v>
      </c>
      <c r="G686" t="s">
        <v>5519</v>
      </c>
    </row>
    <row r="687" spans="1:7" ht="11.25" customHeight="1">
      <c r="A687" t="s">
        <v>16</v>
      </c>
      <c r="B687" t="s">
        <v>5509</v>
      </c>
      <c r="C687" t="s">
        <v>5510</v>
      </c>
      <c r="D687" t="s">
        <v>5520</v>
      </c>
      <c r="E687" t="s">
        <v>5521</v>
      </c>
      <c r="F687" t="s">
        <v>3547</v>
      </c>
      <c r="G687" t="s">
        <v>5522</v>
      </c>
    </row>
    <row r="688" spans="1:7" ht="11.25" customHeight="1">
      <c r="A688" t="s">
        <v>16</v>
      </c>
      <c r="B688" t="s">
        <v>5509</v>
      </c>
      <c r="C688" t="s">
        <v>5510</v>
      </c>
      <c r="D688" t="s">
        <v>5523</v>
      </c>
      <c r="E688" t="s">
        <v>5524</v>
      </c>
      <c r="F688" t="s">
        <v>3547</v>
      </c>
      <c r="G688" t="s">
        <v>5525</v>
      </c>
    </row>
    <row r="689" spans="1:7" ht="11.25" customHeight="1">
      <c r="A689" t="s">
        <v>16</v>
      </c>
      <c r="B689" t="s">
        <v>5509</v>
      </c>
      <c r="C689" t="s">
        <v>5510</v>
      </c>
      <c r="D689" t="s">
        <v>5526</v>
      </c>
      <c r="E689" t="s">
        <v>5527</v>
      </c>
      <c r="F689" t="s">
        <v>3547</v>
      </c>
      <c r="G689" t="s">
        <v>5528</v>
      </c>
    </row>
    <row r="690" spans="1:7" ht="11.25" customHeight="1">
      <c r="A690" t="s">
        <v>16</v>
      </c>
      <c r="B690" t="s">
        <v>5509</v>
      </c>
      <c r="C690" t="s">
        <v>5510</v>
      </c>
      <c r="D690" t="s">
        <v>5529</v>
      </c>
      <c r="E690" t="s">
        <v>5530</v>
      </c>
      <c r="F690" t="s">
        <v>3547</v>
      </c>
      <c r="G690" t="s">
        <v>5531</v>
      </c>
    </row>
    <row r="691" spans="1:7" ht="11.25" customHeight="1">
      <c r="A691" t="s">
        <v>16</v>
      </c>
      <c r="B691" t="s">
        <v>5509</v>
      </c>
      <c r="C691" t="s">
        <v>5510</v>
      </c>
      <c r="D691" t="s">
        <v>5532</v>
      </c>
      <c r="E691" t="s">
        <v>5533</v>
      </c>
      <c r="F691" t="s">
        <v>3547</v>
      </c>
      <c r="G691" t="s">
        <v>5534</v>
      </c>
    </row>
    <row r="692" spans="1:7" ht="11.25" customHeight="1">
      <c r="A692" t="s">
        <v>16</v>
      </c>
      <c r="B692" t="s">
        <v>5509</v>
      </c>
      <c r="C692" t="s">
        <v>5510</v>
      </c>
      <c r="D692" t="s">
        <v>5509</v>
      </c>
      <c r="E692" t="s">
        <v>5510</v>
      </c>
      <c r="F692" t="s">
        <v>3544</v>
      </c>
      <c r="G692" t="s">
        <v>5535</v>
      </c>
    </row>
    <row r="693" spans="1:7" ht="11.25" customHeight="1">
      <c r="A693" t="s">
        <v>16</v>
      </c>
      <c r="B693" t="s">
        <v>5509</v>
      </c>
      <c r="C693" t="s">
        <v>5510</v>
      </c>
      <c r="D693" t="s">
        <v>5536</v>
      </c>
      <c r="E693" t="s">
        <v>5537</v>
      </c>
      <c r="F693" t="s">
        <v>3547</v>
      </c>
      <c r="G693" t="s">
        <v>5538</v>
      </c>
    </row>
    <row r="694" spans="1:7" ht="11.25" customHeight="1">
      <c r="A694" t="s">
        <v>16</v>
      </c>
      <c r="B694" t="s">
        <v>5509</v>
      </c>
      <c r="C694" t="s">
        <v>5510</v>
      </c>
      <c r="D694" t="s">
        <v>5539</v>
      </c>
      <c r="E694" t="s">
        <v>5540</v>
      </c>
      <c r="F694" t="s">
        <v>3547</v>
      </c>
      <c r="G694" t="s">
        <v>5541</v>
      </c>
    </row>
    <row r="695" spans="1:7" ht="11.25" customHeight="1">
      <c r="A695" t="s">
        <v>16</v>
      </c>
      <c r="B695" t="s">
        <v>5509</v>
      </c>
      <c r="C695" t="s">
        <v>5510</v>
      </c>
      <c r="D695" t="s">
        <v>5542</v>
      </c>
      <c r="E695" t="s">
        <v>5543</v>
      </c>
      <c r="F695" t="s">
        <v>3547</v>
      </c>
      <c r="G695" t="s">
        <v>5544</v>
      </c>
    </row>
    <row r="696" spans="1:7" ht="11.25" customHeight="1">
      <c r="A696" t="s">
        <v>16</v>
      </c>
      <c r="B696" t="s">
        <v>5509</v>
      </c>
      <c r="C696" t="s">
        <v>5510</v>
      </c>
      <c r="D696" t="s">
        <v>4838</v>
      </c>
      <c r="E696" t="s">
        <v>5545</v>
      </c>
      <c r="F696" t="s">
        <v>3547</v>
      </c>
      <c r="G696" t="s">
        <v>5546</v>
      </c>
    </row>
    <row r="697" spans="1:7" ht="11.25" customHeight="1">
      <c r="A697" t="s">
        <v>16</v>
      </c>
      <c r="B697" t="s">
        <v>5509</v>
      </c>
      <c r="C697" t="s">
        <v>5510</v>
      </c>
      <c r="D697" t="s">
        <v>5547</v>
      </c>
      <c r="E697" t="s">
        <v>5548</v>
      </c>
      <c r="F697" t="s">
        <v>3547</v>
      </c>
      <c r="G697" t="s">
        <v>5549</v>
      </c>
    </row>
    <row r="698" spans="1:7" ht="11.25" customHeight="1">
      <c r="A698" t="s">
        <v>16</v>
      </c>
      <c r="B698" t="s">
        <v>5509</v>
      </c>
      <c r="C698" t="s">
        <v>5510</v>
      </c>
      <c r="D698" t="s">
        <v>5550</v>
      </c>
      <c r="E698" t="s">
        <v>5551</v>
      </c>
      <c r="F698" t="s">
        <v>3547</v>
      </c>
      <c r="G698" t="s">
        <v>5552</v>
      </c>
    </row>
    <row r="699" spans="1:7" ht="11.25" customHeight="1">
      <c r="A699" t="s">
        <v>16</v>
      </c>
      <c r="B699" t="s">
        <v>5509</v>
      </c>
      <c r="C699" t="s">
        <v>5510</v>
      </c>
      <c r="D699" t="s">
        <v>5553</v>
      </c>
      <c r="E699" t="s">
        <v>5554</v>
      </c>
      <c r="F699" t="s">
        <v>3547</v>
      </c>
      <c r="G699" t="s">
        <v>5555</v>
      </c>
    </row>
    <row r="700" spans="1:7" ht="11.25" customHeight="1">
      <c r="A700" t="s">
        <v>16</v>
      </c>
      <c r="B700" t="s">
        <v>5556</v>
      </c>
      <c r="C700" t="s">
        <v>5557</v>
      </c>
      <c r="D700" t="s">
        <v>5558</v>
      </c>
      <c r="E700" t="s">
        <v>5559</v>
      </c>
      <c r="F700" t="s">
        <v>3547</v>
      </c>
      <c r="G700" t="s">
        <v>5560</v>
      </c>
    </row>
    <row r="701" spans="1:7" ht="11.25" customHeight="1">
      <c r="A701" t="s">
        <v>16</v>
      </c>
      <c r="B701" t="s">
        <v>5556</v>
      </c>
      <c r="C701" t="s">
        <v>5557</v>
      </c>
      <c r="D701" t="s">
        <v>5561</v>
      </c>
      <c r="E701" t="s">
        <v>5562</v>
      </c>
      <c r="F701" t="s">
        <v>3547</v>
      </c>
      <c r="G701" t="s">
        <v>5563</v>
      </c>
    </row>
    <row r="702" spans="1:7" ht="11.25" customHeight="1">
      <c r="A702" t="s">
        <v>16</v>
      </c>
      <c r="B702" t="s">
        <v>5556</v>
      </c>
      <c r="C702" t="s">
        <v>5557</v>
      </c>
      <c r="D702" t="s">
        <v>5564</v>
      </c>
      <c r="E702" t="s">
        <v>5565</v>
      </c>
      <c r="F702" t="s">
        <v>3547</v>
      </c>
      <c r="G702" t="s">
        <v>5566</v>
      </c>
    </row>
    <row r="703" spans="1:7" ht="11.25" customHeight="1">
      <c r="A703" t="s">
        <v>16</v>
      </c>
      <c r="B703" t="s">
        <v>5556</v>
      </c>
      <c r="C703" t="s">
        <v>5557</v>
      </c>
      <c r="D703" t="s">
        <v>5567</v>
      </c>
      <c r="E703" t="s">
        <v>5568</v>
      </c>
      <c r="F703" t="s">
        <v>3547</v>
      </c>
      <c r="G703" t="s">
        <v>5569</v>
      </c>
    </row>
    <row r="704" spans="1:7" ht="11.25" customHeight="1">
      <c r="A704" t="s">
        <v>16</v>
      </c>
      <c r="B704" t="s">
        <v>5556</v>
      </c>
      <c r="C704" t="s">
        <v>5557</v>
      </c>
      <c r="D704" t="s">
        <v>5570</v>
      </c>
      <c r="E704" t="s">
        <v>5571</v>
      </c>
      <c r="F704" t="s">
        <v>3547</v>
      </c>
      <c r="G704" t="s">
        <v>5572</v>
      </c>
    </row>
    <row r="705" spans="1:7" ht="11.25" customHeight="1">
      <c r="A705" t="s">
        <v>16</v>
      </c>
      <c r="B705" t="s">
        <v>5556</v>
      </c>
      <c r="C705" t="s">
        <v>5557</v>
      </c>
      <c r="D705" t="s">
        <v>5573</v>
      </c>
      <c r="E705" t="s">
        <v>5574</v>
      </c>
      <c r="F705" t="s">
        <v>3547</v>
      </c>
      <c r="G705" t="s">
        <v>5575</v>
      </c>
    </row>
    <row r="706" spans="1:7" ht="11.25" customHeight="1">
      <c r="A706" t="s">
        <v>16</v>
      </c>
      <c r="B706" t="s">
        <v>5556</v>
      </c>
      <c r="C706" t="s">
        <v>5557</v>
      </c>
      <c r="D706" t="s">
        <v>5576</v>
      </c>
      <c r="E706" t="s">
        <v>5577</v>
      </c>
      <c r="F706" t="s">
        <v>3547</v>
      </c>
      <c r="G706" t="s">
        <v>5578</v>
      </c>
    </row>
    <row r="707" spans="1:7" ht="11.25" customHeight="1">
      <c r="A707" t="s">
        <v>16</v>
      </c>
      <c r="B707" t="s">
        <v>5556</v>
      </c>
      <c r="C707" t="s">
        <v>5557</v>
      </c>
      <c r="D707" t="s">
        <v>5579</v>
      </c>
      <c r="E707" t="s">
        <v>5580</v>
      </c>
      <c r="F707" t="s">
        <v>3547</v>
      </c>
      <c r="G707" t="s">
        <v>5581</v>
      </c>
    </row>
    <row r="708" spans="1:7" ht="11.25" customHeight="1">
      <c r="A708" t="s">
        <v>16</v>
      </c>
      <c r="B708" t="s">
        <v>5556</v>
      </c>
      <c r="C708" t="s">
        <v>5557</v>
      </c>
      <c r="D708" t="s">
        <v>5582</v>
      </c>
      <c r="E708" t="s">
        <v>5583</v>
      </c>
      <c r="F708" t="s">
        <v>3552</v>
      </c>
      <c r="G708" t="s">
        <v>5584</v>
      </c>
    </row>
    <row r="709" spans="1:7" ht="11.25" customHeight="1">
      <c r="A709" t="s">
        <v>16</v>
      </c>
      <c r="B709" t="s">
        <v>5556</v>
      </c>
      <c r="C709" t="s">
        <v>5557</v>
      </c>
      <c r="D709" t="s">
        <v>5585</v>
      </c>
      <c r="E709" t="s">
        <v>5586</v>
      </c>
      <c r="F709" t="s">
        <v>3547</v>
      </c>
      <c r="G709" t="s">
        <v>5587</v>
      </c>
    </row>
    <row r="710" spans="1:7" ht="11.25" customHeight="1">
      <c r="A710" t="s">
        <v>16</v>
      </c>
      <c r="B710" t="s">
        <v>5556</v>
      </c>
      <c r="C710" t="s">
        <v>5557</v>
      </c>
      <c r="D710" t="s">
        <v>5588</v>
      </c>
      <c r="E710" t="s">
        <v>5589</v>
      </c>
      <c r="F710" t="s">
        <v>3547</v>
      </c>
      <c r="G710" t="s">
        <v>5590</v>
      </c>
    </row>
    <row r="711" spans="1:7" ht="11.25" customHeight="1">
      <c r="A711" t="s">
        <v>16</v>
      </c>
      <c r="B711" t="s">
        <v>5556</v>
      </c>
      <c r="C711" t="s">
        <v>5557</v>
      </c>
      <c r="D711" t="s">
        <v>5591</v>
      </c>
      <c r="E711" t="s">
        <v>5592</v>
      </c>
      <c r="F711" t="s">
        <v>3547</v>
      </c>
      <c r="G711" t="s">
        <v>5593</v>
      </c>
    </row>
    <row r="712" spans="1:7" ht="11.25" customHeight="1">
      <c r="A712" t="s">
        <v>16</v>
      </c>
      <c r="B712" t="s">
        <v>5556</v>
      </c>
      <c r="C712" t="s">
        <v>5557</v>
      </c>
      <c r="D712" t="s">
        <v>5594</v>
      </c>
      <c r="E712" t="s">
        <v>5595</v>
      </c>
      <c r="F712" t="s">
        <v>3547</v>
      </c>
      <c r="G712" t="s">
        <v>5596</v>
      </c>
    </row>
    <row r="713" spans="1:7" ht="11.25" customHeight="1">
      <c r="A713" t="s">
        <v>16</v>
      </c>
      <c r="B713" t="s">
        <v>5556</v>
      </c>
      <c r="C713" t="s">
        <v>5557</v>
      </c>
      <c r="D713" t="s">
        <v>5597</v>
      </c>
      <c r="E713" t="s">
        <v>5598</v>
      </c>
      <c r="F713" t="s">
        <v>3547</v>
      </c>
      <c r="G713" t="s">
        <v>5599</v>
      </c>
    </row>
    <row r="714" spans="1:7" ht="11.25" customHeight="1">
      <c r="A714" t="s">
        <v>16</v>
      </c>
      <c r="B714" t="s">
        <v>5556</v>
      </c>
      <c r="C714" t="s">
        <v>5557</v>
      </c>
      <c r="D714" t="s">
        <v>5600</v>
      </c>
      <c r="E714" t="s">
        <v>5601</v>
      </c>
      <c r="F714" t="s">
        <v>3547</v>
      </c>
      <c r="G714" t="s">
        <v>5602</v>
      </c>
    </row>
    <row r="715" spans="1:7" ht="11.25" customHeight="1">
      <c r="A715" t="s">
        <v>16</v>
      </c>
      <c r="B715" t="s">
        <v>5556</v>
      </c>
      <c r="C715" t="s">
        <v>5557</v>
      </c>
      <c r="D715" t="s">
        <v>5603</v>
      </c>
      <c r="E715" t="s">
        <v>5604</v>
      </c>
      <c r="F715" t="s">
        <v>3547</v>
      </c>
      <c r="G715" t="s">
        <v>5605</v>
      </c>
    </row>
    <row r="716" spans="1:7" ht="11.25" customHeight="1">
      <c r="A716" t="s">
        <v>16</v>
      </c>
      <c r="B716" t="s">
        <v>5556</v>
      </c>
      <c r="C716" t="s">
        <v>5557</v>
      </c>
      <c r="D716" t="s">
        <v>5606</v>
      </c>
      <c r="E716" t="s">
        <v>5607</v>
      </c>
      <c r="F716" t="s">
        <v>3547</v>
      </c>
      <c r="G716" t="s">
        <v>5608</v>
      </c>
    </row>
    <row r="717" spans="1:7" ht="11.25" customHeight="1">
      <c r="A717" t="s">
        <v>16</v>
      </c>
      <c r="B717" t="s">
        <v>5556</v>
      </c>
      <c r="C717" t="s">
        <v>5557</v>
      </c>
      <c r="D717" t="s">
        <v>5556</v>
      </c>
      <c r="E717" t="s">
        <v>5557</v>
      </c>
      <c r="F717" t="s">
        <v>3544</v>
      </c>
      <c r="G717" t="s">
        <v>5609</v>
      </c>
    </row>
    <row r="718" spans="1:7" ht="11.25" customHeight="1">
      <c r="A718" t="s">
        <v>16</v>
      </c>
      <c r="B718" t="s">
        <v>5556</v>
      </c>
      <c r="C718" t="s">
        <v>5557</v>
      </c>
      <c r="D718" t="s">
        <v>5610</v>
      </c>
      <c r="E718" t="s">
        <v>5611</v>
      </c>
      <c r="F718" t="s">
        <v>3547</v>
      </c>
      <c r="G718" t="s">
        <v>5612</v>
      </c>
    </row>
    <row r="719" spans="1:7" ht="11.25" customHeight="1">
      <c r="A719" t="s">
        <v>16</v>
      </c>
      <c r="B719" t="s">
        <v>5556</v>
      </c>
      <c r="C719" t="s">
        <v>5557</v>
      </c>
      <c r="D719" t="s">
        <v>5613</v>
      </c>
      <c r="E719" t="s">
        <v>5614</v>
      </c>
      <c r="F719" t="s">
        <v>3547</v>
      </c>
      <c r="G719" t="s">
        <v>5615</v>
      </c>
    </row>
    <row r="720" spans="1:7" ht="11.25" customHeight="1">
      <c r="A720" t="s">
        <v>16</v>
      </c>
      <c r="B720" t="s">
        <v>5556</v>
      </c>
      <c r="C720" t="s">
        <v>5557</v>
      </c>
      <c r="D720" t="s">
        <v>5616</v>
      </c>
      <c r="E720" t="s">
        <v>5617</v>
      </c>
      <c r="F720" t="s">
        <v>3547</v>
      </c>
      <c r="G720" t="s">
        <v>5618</v>
      </c>
    </row>
    <row r="721" spans="1:7" ht="11.25" customHeight="1">
      <c r="A721" t="s">
        <v>16</v>
      </c>
      <c r="B721" t="s">
        <v>5556</v>
      </c>
      <c r="C721" t="s">
        <v>5557</v>
      </c>
      <c r="D721" t="s">
        <v>3898</v>
      </c>
      <c r="E721" t="s">
        <v>5619</v>
      </c>
      <c r="F721" t="s">
        <v>3547</v>
      </c>
      <c r="G721" t="s">
        <v>5620</v>
      </c>
    </row>
    <row r="722" spans="1:7" ht="11.25" customHeight="1">
      <c r="A722" t="s">
        <v>16</v>
      </c>
      <c r="B722" t="s">
        <v>5556</v>
      </c>
      <c r="C722" t="s">
        <v>5557</v>
      </c>
      <c r="D722" t="s">
        <v>5621</v>
      </c>
      <c r="E722" t="s">
        <v>5622</v>
      </c>
      <c r="F722" t="s">
        <v>3547</v>
      </c>
      <c r="G722" t="s">
        <v>5623</v>
      </c>
    </row>
    <row r="723" spans="1:7" ht="11.25" customHeight="1">
      <c r="A723" t="s">
        <v>16</v>
      </c>
      <c r="B723" t="s">
        <v>5556</v>
      </c>
      <c r="C723" t="s">
        <v>5557</v>
      </c>
      <c r="D723" t="s">
        <v>5624</v>
      </c>
      <c r="E723" t="s">
        <v>5625</v>
      </c>
      <c r="F723" t="s">
        <v>3547</v>
      </c>
      <c r="G723" t="s">
        <v>5626</v>
      </c>
    </row>
    <row r="724" spans="1:7" ht="11.25" customHeight="1">
      <c r="A724" t="s">
        <v>16</v>
      </c>
      <c r="B724" t="s">
        <v>5556</v>
      </c>
      <c r="C724" t="s">
        <v>5557</v>
      </c>
      <c r="D724" t="s">
        <v>5627</v>
      </c>
      <c r="E724" t="s">
        <v>5628</v>
      </c>
      <c r="F724" t="s">
        <v>3547</v>
      </c>
      <c r="G724" t="s">
        <v>5629</v>
      </c>
    </row>
    <row r="725" spans="1:7" ht="11.25" customHeight="1">
      <c r="A725" t="s">
        <v>16</v>
      </c>
      <c r="B725" t="s">
        <v>5556</v>
      </c>
      <c r="C725" t="s">
        <v>5557</v>
      </c>
      <c r="D725" t="s">
        <v>5630</v>
      </c>
      <c r="E725" t="s">
        <v>5631</v>
      </c>
      <c r="F725" t="s">
        <v>3547</v>
      </c>
      <c r="G725" t="s">
        <v>5632</v>
      </c>
    </row>
    <row r="726" spans="1:7" ht="11.25" customHeight="1">
      <c r="A726" t="s">
        <v>16</v>
      </c>
      <c r="B726" t="s">
        <v>5556</v>
      </c>
      <c r="C726" t="s">
        <v>5557</v>
      </c>
      <c r="D726" t="s">
        <v>5633</v>
      </c>
      <c r="E726" t="s">
        <v>5634</v>
      </c>
      <c r="F726" t="s">
        <v>3547</v>
      </c>
      <c r="G726" t="s">
        <v>5635</v>
      </c>
    </row>
    <row r="727" spans="1:7" ht="11.25" customHeight="1">
      <c r="A727" t="s">
        <v>16</v>
      </c>
      <c r="B727" t="s">
        <v>5556</v>
      </c>
      <c r="C727" t="s">
        <v>5557</v>
      </c>
      <c r="D727" t="s">
        <v>5636</v>
      </c>
      <c r="E727" t="s">
        <v>5637</v>
      </c>
      <c r="F727" t="s">
        <v>3547</v>
      </c>
      <c r="G727" t="s">
        <v>5638</v>
      </c>
    </row>
    <row r="728" spans="1:7" ht="11.25" customHeight="1">
      <c r="A728" t="s">
        <v>16</v>
      </c>
      <c r="B728" t="s">
        <v>5639</v>
      </c>
      <c r="C728" t="s">
        <v>5640</v>
      </c>
      <c r="D728" t="s">
        <v>5641</v>
      </c>
      <c r="E728" t="s">
        <v>5642</v>
      </c>
      <c r="F728" t="s">
        <v>3547</v>
      </c>
      <c r="G728" t="s">
        <v>5643</v>
      </c>
    </row>
    <row r="729" spans="1:7" ht="11.25" customHeight="1">
      <c r="A729" t="s">
        <v>16</v>
      </c>
      <c r="B729" t="s">
        <v>5639</v>
      </c>
      <c r="C729" t="s">
        <v>5640</v>
      </c>
      <c r="D729" t="s">
        <v>5644</v>
      </c>
      <c r="E729" t="s">
        <v>5645</v>
      </c>
      <c r="F729" t="s">
        <v>3547</v>
      </c>
      <c r="G729" t="s">
        <v>5646</v>
      </c>
    </row>
    <row r="730" spans="1:7" ht="11.25" customHeight="1">
      <c r="A730" t="s">
        <v>16</v>
      </c>
      <c r="B730" t="s">
        <v>5639</v>
      </c>
      <c r="C730" t="s">
        <v>5640</v>
      </c>
      <c r="D730" t="s">
        <v>5647</v>
      </c>
      <c r="E730" t="s">
        <v>5648</v>
      </c>
      <c r="F730" t="s">
        <v>3547</v>
      </c>
      <c r="G730" t="s">
        <v>5649</v>
      </c>
    </row>
    <row r="731" spans="1:7" ht="11.25" customHeight="1">
      <c r="A731" t="s">
        <v>16</v>
      </c>
      <c r="B731" t="s">
        <v>5639</v>
      </c>
      <c r="C731" t="s">
        <v>5640</v>
      </c>
      <c r="D731" t="s">
        <v>5650</v>
      </c>
      <c r="E731" t="s">
        <v>5651</v>
      </c>
      <c r="F731" t="s">
        <v>3547</v>
      </c>
      <c r="G731" t="s">
        <v>5652</v>
      </c>
    </row>
    <row r="732" spans="1:7" ht="11.25" customHeight="1">
      <c r="A732" t="s">
        <v>16</v>
      </c>
      <c r="B732" t="s">
        <v>5639</v>
      </c>
      <c r="C732" t="s">
        <v>5640</v>
      </c>
      <c r="D732" t="s">
        <v>5653</v>
      </c>
      <c r="E732" t="s">
        <v>5654</v>
      </c>
      <c r="F732" t="s">
        <v>3547</v>
      </c>
      <c r="G732" t="s">
        <v>5655</v>
      </c>
    </row>
    <row r="733" spans="1:7" ht="11.25" customHeight="1">
      <c r="A733" t="s">
        <v>16</v>
      </c>
      <c r="B733" t="s">
        <v>5639</v>
      </c>
      <c r="C733" t="s">
        <v>5640</v>
      </c>
      <c r="D733" t="s">
        <v>5656</v>
      </c>
      <c r="E733" t="s">
        <v>5657</v>
      </c>
      <c r="F733" t="s">
        <v>3547</v>
      </c>
      <c r="G733" t="s">
        <v>5658</v>
      </c>
    </row>
    <row r="734" spans="1:7" ht="11.25" customHeight="1">
      <c r="A734" t="s">
        <v>16</v>
      </c>
      <c r="B734" t="s">
        <v>5639</v>
      </c>
      <c r="C734" t="s">
        <v>5640</v>
      </c>
      <c r="D734" t="s">
        <v>5659</v>
      </c>
      <c r="E734" t="s">
        <v>5660</v>
      </c>
      <c r="F734" t="s">
        <v>3547</v>
      </c>
      <c r="G734" t="s">
        <v>5661</v>
      </c>
    </row>
    <row r="735" spans="1:7" ht="11.25" customHeight="1">
      <c r="A735" t="s">
        <v>16</v>
      </c>
      <c r="B735" t="s">
        <v>5639</v>
      </c>
      <c r="C735" t="s">
        <v>5640</v>
      </c>
      <c r="D735" t="s">
        <v>5662</v>
      </c>
      <c r="E735" t="s">
        <v>5663</v>
      </c>
      <c r="F735" t="s">
        <v>3547</v>
      </c>
      <c r="G735" t="s">
        <v>5664</v>
      </c>
    </row>
    <row r="736" spans="1:7" ht="11.25" customHeight="1">
      <c r="A736" t="s">
        <v>16</v>
      </c>
      <c r="B736" t="s">
        <v>5639</v>
      </c>
      <c r="C736" t="s">
        <v>5640</v>
      </c>
      <c r="D736" t="s">
        <v>5665</v>
      </c>
      <c r="E736" t="s">
        <v>5666</v>
      </c>
      <c r="F736" t="s">
        <v>3547</v>
      </c>
      <c r="G736" t="s">
        <v>5667</v>
      </c>
    </row>
    <row r="737" spans="1:7" ht="11.25" customHeight="1">
      <c r="A737" t="s">
        <v>16</v>
      </c>
      <c r="B737" t="s">
        <v>5639</v>
      </c>
      <c r="C737" t="s">
        <v>5640</v>
      </c>
      <c r="D737" t="s">
        <v>5668</v>
      </c>
      <c r="E737" t="s">
        <v>5669</v>
      </c>
      <c r="F737" t="s">
        <v>3547</v>
      </c>
      <c r="G737" t="s">
        <v>5670</v>
      </c>
    </row>
    <row r="738" spans="1:7" ht="11.25" customHeight="1">
      <c r="A738" t="s">
        <v>16</v>
      </c>
      <c r="B738" t="s">
        <v>5639</v>
      </c>
      <c r="C738" t="s">
        <v>5640</v>
      </c>
      <c r="D738" t="s">
        <v>5671</v>
      </c>
      <c r="E738" t="s">
        <v>5672</v>
      </c>
      <c r="F738" t="s">
        <v>3547</v>
      </c>
      <c r="G738" t="s">
        <v>5673</v>
      </c>
    </row>
    <row r="739" spans="1:7" ht="11.25" customHeight="1">
      <c r="A739" t="s">
        <v>16</v>
      </c>
      <c r="B739" t="s">
        <v>5639</v>
      </c>
      <c r="C739" t="s">
        <v>5640</v>
      </c>
      <c r="D739" t="s">
        <v>4880</v>
      </c>
      <c r="E739" t="s">
        <v>5674</v>
      </c>
      <c r="F739" t="s">
        <v>3547</v>
      </c>
      <c r="G739" t="s">
        <v>5675</v>
      </c>
    </row>
    <row r="740" spans="1:7" ht="11.25" customHeight="1">
      <c r="A740" t="s">
        <v>16</v>
      </c>
      <c r="B740" t="s">
        <v>5639</v>
      </c>
      <c r="C740" t="s">
        <v>5640</v>
      </c>
      <c r="D740" t="s">
        <v>5676</v>
      </c>
      <c r="E740" t="s">
        <v>5677</v>
      </c>
      <c r="F740" t="s">
        <v>3547</v>
      </c>
      <c r="G740" t="s">
        <v>5678</v>
      </c>
    </row>
    <row r="741" spans="1:7" ht="11.25" customHeight="1">
      <c r="A741" t="s">
        <v>16</v>
      </c>
      <c r="B741" t="s">
        <v>5639</v>
      </c>
      <c r="C741" t="s">
        <v>5640</v>
      </c>
      <c r="D741" t="s">
        <v>5679</v>
      </c>
      <c r="E741" t="s">
        <v>5680</v>
      </c>
      <c r="F741" t="s">
        <v>3547</v>
      </c>
      <c r="G741" t="s">
        <v>5681</v>
      </c>
    </row>
    <row r="742" spans="1:7" ht="11.25" customHeight="1">
      <c r="A742" t="s">
        <v>16</v>
      </c>
      <c r="B742" t="s">
        <v>5639</v>
      </c>
      <c r="C742" t="s">
        <v>5640</v>
      </c>
      <c r="D742" t="s">
        <v>5639</v>
      </c>
      <c r="E742" t="s">
        <v>5640</v>
      </c>
      <c r="F742" t="s">
        <v>3544</v>
      </c>
      <c r="G742" t="s">
        <v>5682</v>
      </c>
    </row>
    <row r="743" spans="1:7" ht="11.25" customHeight="1">
      <c r="A743" t="s">
        <v>16</v>
      </c>
      <c r="B743" t="s">
        <v>5639</v>
      </c>
      <c r="C743" t="s">
        <v>5640</v>
      </c>
      <c r="D743" t="s">
        <v>5683</v>
      </c>
      <c r="E743" t="s">
        <v>5684</v>
      </c>
      <c r="F743" t="s">
        <v>3547</v>
      </c>
      <c r="G743" t="s">
        <v>5685</v>
      </c>
    </row>
    <row r="744" spans="1:7" ht="11.25" customHeight="1">
      <c r="A744" t="s">
        <v>16</v>
      </c>
      <c r="B744" t="s">
        <v>5639</v>
      </c>
      <c r="C744" t="s">
        <v>5640</v>
      </c>
      <c r="D744" t="s">
        <v>5686</v>
      </c>
      <c r="E744" t="s">
        <v>5687</v>
      </c>
      <c r="F744" t="s">
        <v>3547</v>
      </c>
      <c r="G744" t="s">
        <v>5688</v>
      </c>
    </row>
    <row r="745" spans="1:7" ht="11.25" customHeight="1">
      <c r="A745" t="s">
        <v>16</v>
      </c>
      <c r="B745" t="s">
        <v>5639</v>
      </c>
      <c r="C745" t="s">
        <v>5640</v>
      </c>
      <c r="D745" t="s">
        <v>5689</v>
      </c>
      <c r="E745" t="s">
        <v>5690</v>
      </c>
      <c r="F745" t="s">
        <v>3547</v>
      </c>
      <c r="G745" t="s">
        <v>5691</v>
      </c>
    </row>
    <row r="746" spans="1:7" ht="11.25" customHeight="1">
      <c r="A746" t="s">
        <v>16</v>
      </c>
      <c r="B746" t="s">
        <v>5639</v>
      </c>
      <c r="C746" t="s">
        <v>5640</v>
      </c>
      <c r="D746" t="s">
        <v>5692</v>
      </c>
      <c r="E746" t="s">
        <v>5693</v>
      </c>
      <c r="F746" t="s">
        <v>3547</v>
      </c>
      <c r="G746" t="s">
        <v>5694</v>
      </c>
    </row>
    <row r="747" spans="1:7" ht="11.25" customHeight="1">
      <c r="A747" t="s">
        <v>16</v>
      </c>
      <c r="B747" t="s">
        <v>5639</v>
      </c>
      <c r="C747" t="s">
        <v>5640</v>
      </c>
      <c r="D747" t="s">
        <v>5695</v>
      </c>
      <c r="E747" t="s">
        <v>5696</v>
      </c>
      <c r="F747" t="s">
        <v>3547</v>
      </c>
      <c r="G747" t="s">
        <v>5697</v>
      </c>
    </row>
    <row r="748" spans="1:7" ht="11.25" customHeight="1">
      <c r="A748" t="s">
        <v>16</v>
      </c>
      <c r="B748" t="s">
        <v>5639</v>
      </c>
      <c r="C748" t="s">
        <v>5640</v>
      </c>
      <c r="D748" t="s">
        <v>5698</v>
      </c>
      <c r="E748" t="s">
        <v>5699</v>
      </c>
      <c r="F748" t="s">
        <v>3547</v>
      </c>
      <c r="G748" t="s">
        <v>5700</v>
      </c>
    </row>
    <row r="749" spans="1:7" ht="11.25" customHeight="1">
      <c r="A749" t="s">
        <v>16</v>
      </c>
      <c r="B749" t="s">
        <v>5639</v>
      </c>
      <c r="C749" t="s">
        <v>5640</v>
      </c>
      <c r="D749" t="s">
        <v>5701</v>
      </c>
      <c r="E749" t="s">
        <v>5702</v>
      </c>
      <c r="F749" t="s">
        <v>3547</v>
      </c>
      <c r="G749" t="s">
        <v>5703</v>
      </c>
    </row>
    <row r="750" spans="1:7" ht="11.25" customHeight="1">
      <c r="A750" t="s">
        <v>16</v>
      </c>
      <c r="B750" t="s">
        <v>5704</v>
      </c>
      <c r="C750" t="s">
        <v>5705</v>
      </c>
      <c r="D750" t="s">
        <v>5706</v>
      </c>
      <c r="E750" t="s">
        <v>5707</v>
      </c>
      <c r="F750" t="s">
        <v>3547</v>
      </c>
      <c r="G750" t="s">
        <v>5708</v>
      </c>
    </row>
    <row r="751" spans="1:7" ht="11.25" customHeight="1">
      <c r="A751" t="s">
        <v>16</v>
      </c>
      <c r="B751" t="s">
        <v>5704</v>
      </c>
      <c r="C751" t="s">
        <v>5705</v>
      </c>
      <c r="D751" t="s">
        <v>5709</v>
      </c>
      <c r="E751" t="s">
        <v>5710</v>
      </c>
      <c r="F751" t="s">
        <v>3547</v>
      </c>
      <c r="G751" t="s">
        <v>5711</v>
      </c>
    </row>
    <row r="752" spans="1:7" ht="11.25" customHeight="1">
      <c r="A752" t="s">
        <v>16</v>
      </c>
      <c r="B752" t="s">
        <v>5704</v>
      </c>
      <c r="C752" t="s">
        <v>5705</v>
      </c>
      <c r="D752" t="s">
        <v>5712</v>
      </c>
      <c r="E752" t="s">
        <v>5713</v>
      </c>
      <c r="F752" t="s">
        <v>3547</v>
      </c>
      <c r="G752" t="s">
        <v>5714</v>
      </c>
    </row>
    <row r="753" spans="1:7" ht="11.25" customHeight="1">
      <c r="A753" t="s">
        <v>16</v>
      </c>
      <c r="B753" t="s">
        <v>5704</v>
      </c>
      <c r="C753" t="s">
        <v>5705</v>
      </c>
      <c r="D753" t="s">
        <v>5715</v>
      </c>
      <c r="E753" t="s">
        <v>5716</v>
      </c>
      <c r="F753" t="s">
        <v>3547</v>
      </c>
      <c r="G753" t="s">
        <v>5717</v>
      </c>
    </row>
    <row r="754" spans="1:7" ht="11.25" customHeight="1">
      <c r="A754" t="s">
        <v>16</v>
      </c>
      <c r="B754" t="s">
        <v>5704</v>
      </c>
      <c r="C754" t="s">
        <v>5705</v>
      </c>
      <c r="D754" t="s">
        <v>5718</v>
      </c>
      <c r="E754" t="s">
        <v>5719</v>
      </c>
      <c r="F754" t="s">
        <v>3547</v>
      </c>
      <c r="G754" t="s">
        <v>5720</v>
      </c>
    </row>
    <row r="755" spans="1:7" ht="11.25" customHeight="1">
      <c r="A755" t="s">
        <v>16</v>
      </c>
      <c r="B755" t="s">
        <v>5704</v>
      </c>
      <c r="C755" t="s">
        <v>5705</v>
      </c>
      <c r="D755" t="s">
        <v>5721</v>
      </c>
      <c r="E755" t="s">
        <v>5722</v>
      </c>
      <c r="F755" t="s">
        <v>3547</v>
      </c>
      <c r="G755" t="s">
        <v>5723</v>
      </c>
    </row>
    <row r="756" spans="1:7" ht="11.25" customHeight="1">
      <c r="A756" t="s">
        <v>16</v>
      </c>
      <c r="B756" t="s">
        <v>5704</v>
      </c>
      <c r="C756" t="s">
        <v>5705</v>
      </c>
      <c r="D756" t="s">
        <v>5724</v>
      </c>
      <c r="E756" t="s">
        <v>5725</v>
      </c>
      <c r="F756" t="s">
        <v>3547</v>
      </c>
      <c r="G756" t="s">
        <v>5726</v>
      </c>
    </row>
    <row r="757" spans="1:7" ht="11.25" customHeight="1">
      <c r="A757" t="s">
        <v>16</v>
      </c>
      <c r="B757" t="s">
        <v>5704</v>
      </c>
      <c r="C757" t="s">
        <v>5705</v>
      </c>
      <c r="D757" t="s">
        <v>5727</v>
      </c>
      <c r="E757" t="s">
        <v>5728</v>
      </c>
      <c r="F757" t="s">
        <v>3547</v>
      </c>
      <c r="G757" t="s">
        <v>5729</v>
      </c>
    </row>
    <row r="758" spans="1:7" ht="11.25" customHeight="1">
      <c r="A758" t="s">
        <v>16</v>
      </c>
      <c r="B758" t="s">
        <v>5704</v>
      </c>
      <c r="C758" t="s">
        <v>5705</v>
      </c>
      <c r="D758" t="s">
        <v>5730</v>
      </c>
      <c r="E758" t="s">
        <v>5731</v>
      </c>
      <c r="F758" t="s">
        <v>3547</v>
      </c>
      <c r="G758" t="s">
        <v>5732</v>
      </c>
    </row>
    <row r="759" spans="1:7" ht="11.25" customHeight="1">
      <c r="A759" t="s">
        <v>16</v>
      </c>
      <c r="B759" t="s">
        <v>5704</v>
      </c>
      <c r="C759" t="s">
        <v>5705</v>
      </c>
      <c r="D759" t="s">
        <v>5733</v>
      </c>
      <c r="E759" t="s">
        <v>5734</v>
      </c>
      <c r="F759" t="s">
        <v>3547</v>
      </c>
      <c r="G759" t="s">
        <v>5735</v>
      </c>
    </row>
    <row r="760" spans="1:7" ht="11.25" customHeight="1">
      <c r="A760" t="s">
        <v>16</v>
      </c>
      <c r="B760" t="s">
        <v>5704</v>
      </c>
      <c r="C760" t="s">
        <v>5705</v>
      </c>
      <c r="D760" t="s">
        <v>5736</v>
      </c>
      <c r="E760" t="s">
        <v>5737</v>
      </c>
      <c r="F760" t="s">
        <v>3547</v>
      </c>
      <c r="G760" t="s">
        <v>5738</v>
      </c>
    </row>
    <row r="761" spans="1:7" ht="11.25" customHeight="1">
      <c r="A761" t="s">
        <v>16</v>
      </c>
      <c r="B761" t="s">
        <v>5704</v>
      </c>
      <c r="C761" t="s">
        <v>5705</v>
      </c>
      <c r="D761" t="s">
        <v>5739</v>
      </c>
      <c r="E761" t="s">
        <v>5740</v>
      </c>
      <c r="F761" t="s">
        <v>3547</v>
      </c>
      <c r="G761" t="s">
        <v>5741</v>
      </c>
    </row>
    <row r="762" spans="1:7" ht="11.25" customHeight="1">
      <c r="A762" t="s">
        <v>16</v>
      </c>
      <c r="B762" t="s">
        <v>5704</v>
      </c>
      <c r="C762" t="s">
        <v>5705</v>
      </c>
      <c r="D762" t="s">
        <v>5742</v>
      </c>
      <c r="E762" t="s">
        <v>5743</v>
      </c>
      <c r="F762" t="s">
        <v>3547</v>
      </c>
      <c r="G762" t="s">
        <v>5744</v>
      </c>
    </row>
    <row r="763" spans="1:7" ht="11.25" customHeight="1">
      <c r="A763" t="s">
        <v>16</v>
      </c>
      <c r="B763" t="s">
        <v>5704</v>
      </c>
      <c r="C763" t="s">
        <v>5705</v>
      </c>
      <c r="D763" t="s">
        <v>5745</v>
      </c>
      <c r="E763" t="s">
        <v>5746</v>
      </c>
      <c r="F763" t="s">
        <v>3547</v>
      </c>
      <c r="G763" t="s">
        <v>5747</v>
      </c>
    </row>
    <row r="764" spans="1:7" ht="11.25" customHeight="1">
      <c r="A764" t="s">
        <v>16</v>
      </c>
      <c r="B764" t="s">
        <v>5704</v>
      </c>
      <c r="C764" t="s">
        <v>5705</v>
      </c>
      <c r="D764" t="s">
        <v>5748</v>
      </c>
      <c r="E764" t="s">
        <v>5749</v>
      </c>
      <c r="F764" t="s">
        <v>3547</v>
      </c>
      <c r="G764" t="s">
        <v>5750</v>
      </c>
    </row>
    <row r="765" spans="1:7" ht="11.25" customHeight="1">
      <c r="A765" t="s">
        <v>16</v>
      </c>
      <c r="B765" t="s">
        <v>5704</v>
      </c>
      <c r="C765" t="s">
        <v>5705</v>
      </c>
      <c r="D765" t="s">
        <v>5751</v>
      </c>
      <c r="E765" t="s">
        <v>5752</v>
      </c>
      <c r="F765" t="s">
        <v>3547</v>
      </c>
      <c r="G765" t="s">
        <v>5753</v>
      </c>
    </row>
    <row r="766" spans="1:7" ht="11.25" customHeight="1">
      <c r="A766" t="s">
        <v>16</v>
      </c>
      <c r="B766" t="s">
        <v>5704</v>
      </c>
      <c r="C766" t="s">
        <v>5705</v>
      </c>
      <c r="D766" t="s">
        <v>5754</v>
      </c>
      <c r="E766" t="s">
        <v>5755</v>
      </c>
      <c r="F766" t="s">
        <v>3547</v>
      </c>
      <c r="G766" t="s">
        <v>5756</v>
      </c>
    </row>
    <row r="767" spans="1:7" ht="11.25" customHeight="1">
      <c r="A767" t="s">
        <v>16</v>
      </c>
      <c r="B767" t="s">
        <v>5704</v>
      </c>
      <c r="C767" t="s">
        <v>5705</v>
      </c>
      <c r="D767" t="s">
        <v>5757</v>
      </c>
      <c r="E767" t="s">
        <v>5758</v>
      </c>
      <c r="F767" t="s">
        <v>3547</v>
      </c>
      <c r="G767" t="s">
        <v>5759</v>
      </c>
    </row>
    <row r="768" spans="1:7" ht="11.25" customHeight="1">
      <c r="A768" t="s">
        <v>16</v>
      </c>
      <c r="B768" t="s">
        <v>5704</v>
      </c>
      <c r="C768" t="s">
        <v>5705</v>
      </c>
      <c r="D768" t="s">
        <v>5760</v>
      </c>
      <c r="E768" t="s">
        <v>5761</v>
      </c>
      <c r="F768" t="s">
        <v>3547</v>
      </c>
      <c r="G768" t="s">
        <v>5762</v>
      </c>
    </row>
    <row r="769" spans="1:7" ht="11.25" customHeight="1">
      <c r="A769" t="s">
        <v>16</v>
      </c>
      <c r="B769" t="s">
        <v>5704</v>
      </c>
      <c r="C769" t="s">
        <v>5705</v>
      </c>
      <c r="D769" t="s">
        <v>5704</v>
      </c>
      <c r="E769" t="s">
        <v>5705</v>
      </c>
      <c r="F769" t="s">
        <v>3544</v>
      </c>
      <c r="G769" t="s">
        <v>5763</v>
      </c>
    </row>
    <row r="770" spans="1:7" ht="11.25" customHeight="1">
      <c r="A770" t="s">
        <v>16</v>
      </c>
      <c r="B770" t="s">
        <v>5704</v>
      </c>
      <c r="C770" t="s">
        <v>5705</v>
      </c>
      <c r="D770" t="s">
        <v>5764</v>
      </c>
      <c r="E770" t="s">
        <v>5765</v>
      </c>
      <c r="F770" t="s">
        <v>3547</v>
      </c>
      <c r="G770" t="s">
        <v>5766</v>
      </c>
    </row>
    <row r="771" spans="1:7" ht="11.25" customHeight="1">
      <c r="A771" t="s">
        <v>16</v>
      </c>
      <c r="B771" t="s">
        <v>5704</v>
      </c>
      <c r="C771" t="s">
        <v>5705</v>
      </c>
      <c r="D771" t="s">
        <v>5767</v>
      </c>
      <c r="E771" t="s">
        <v>5768</v>
      </c>
      <c r="F771" t="s">
        <v>3547</v>
      </c>
      <c r="G771" t="s">
        <v>5769</v>
      </c>
    </row>
    <row r="772" spans="1:7" ht="11.25" customHeight="1">
      <c r="A772" t="s">
        <v>16</v>
      </c>
      <c r="B772" t="s">
        <v>5704</v>
      </c>
      <c r="C772" t="s">
        <v>5705</v>
      </c>
      <c r="D772" t="s">
        <v>5770</v>
      </c>
      <c r="E772" t="s">
        <v>5771</v>
      </c>
      <c r="F772" t="s">
        <v>3547</v>
      </c>
      <c r="G772" t="s">
        <v>5772</v>
      </c>
    </row>
    <row r="773" spans="1:7" ht="11.25" customHeight="1">
      <c r="A773" t="s">
        <v>16</v>
      </c>
      <c r="B773" t="s">
        <v>5704</v>
      </c>
      <c r="C773" t="s">
        <v>5705</v>
      </c>
      <c r="D773" t="s">
        <v>5773</v>
      </c>
      <c r="E773" t="s">
        <v>5774</v>
      </c>
      <c r="F773" t="s">
        <v>3547</v>
      </c>
      <c r="G773" t="s">
        <v>5775</v>
      </c>
    </row>
    <row r="774" spans="1:7" ht="11.25" customHeight="1">
      <c r="A774" t="s">
        <v>16</v>
      </c>
      <c r="B774" t="s">
        <v>5704</v>
      </c>
      <c r="C774" t="s">
        <v>5705</v>
      </c>
      <c r="D774" t="s">
        <v>5776</v>
      </c>
      <c r="E774" t="s">
        <v>5777</v>
      </c>
      <c r="F774" t="s">
        <v>3547</v>
      </c>
      <c r="G774" t="s">
        <v>5778</v>
      </c>
    </row>
    <row r="775" spans="1:7" ht="11.25" customHeight="1">
      <c r="A775" t="s">
        <v>16</v>
      </c>
      <c r="B775" t="s">
        <v>5704</v>
      </c>
      <c r="C775" t="s">
        <v>5705</v>
      </c>
      <c r="D775" t="s">
        <v>5779</v>
      </c>
      <c r="E775" t="s">
        <v>5780</v>
      </c>
      <c r="F775" t="s">
        <v>3547</v>
      </c>
      <c r="G775" t="s">
        <v>5781</v>
      </c>
    </row>
    <row r="776" spans="1:7" ht="11.25" customHeight="1">
      <c r="A776" t="s">
        <v>16</v>
      </c>
      <c r="B776" t="s">
        <v>5704</v>
      </c>
      <c r="C776" t="s">
        <v>5705</v>
      </c>
      <c r="D776" t="s">
        <v>5782</v>
      </c>
      <c r="E776" t="s">
        <v>5783</v>
      </c>
      <c r="F776" t="s">
        <v>3547</v>
      </c>
      <c r="G776" t="s">
        <v>5784</v>
      </c>
    </row>
    <row r="777" spans="1:7" ht="11.25" customHeight="1">
      <c r="A777" t="s">
        <v>16</v>
      </c>
      <c r="B777" t="s">
        <v>5704</v>
      </c>
      <c r="C777" t="s">
        <v>5705</v>
      </c>
      <c r="D777" t="s">
        <v>5785</v>
      </c>
      <c r="E777" t="s">
        <v>5786</v>
      </c>
      <c r="F777" t="s">
        <v>3649</v>
      </c>
      <c r="G777" t="s">
        <v>5787</v>
      </c>
    </row>
    <row r="778" spans="1:7" ht="11.25" customHeight="1">
      <c r="A778" t="s">
        <v>16</v>
      </c>
      <c r="B778" t="s">
        <v>5788</v>
      </c>
      <c r="C778" t="s">
        <v>5789</v>
      </c>
      <c r="D778" t="s">
        <v>5790</v>
      </c>
      <c r="E778" t="s">
        <v>5791</v>
      </c>
      <c r="F778" t="s">
        <v>3547</v>
      </c>
      <c r="G778" t="s">
        <v>5792</v>
      </c>
    </row>
    <row r="779" spans="1:7" ht="11.25" customHeight="1">
      <c r="A779" t="s">
        <v>16</v>
      </c>
      <c r="B779" t="s">
        <v>5788</v>
      </c>
      <c r="C779" t="s">
        <v>5789</v>
      </c>
      <c r="D779" t="s">
        <v>5793</v>
      </c>
      <c r="E779" t="s">
        <v>5794</v>
      </c>
      <c r="F779" t="s">
        <v>3547</v>
      </c>
      <c r="G779" t="s">
        <v>5795</v>
      </c>
    </row>
    <row r="780" spans="1:7" ht="11.25" customHeight="1">
      <c r="A780" t="s">
        <v>16</v>
      </c>
      <c r="B780" t="s">
        <v>5788</v>
      </c>
      <c r="C780" t="s">
        <v>5789</v>
      </c>
      <c r="D780" t="s">
        <v>5796</v>
      </c>
      <c r="E780" t="s">
        <v>5797</v>
      </c>
      <c r="F780" t="s">
        <v>3547</v>
      </c>
      <c r="G780" t="s">
        <v>5798</v>
      </c>
    </row>
    <row r="781" spans="1:7" ht="11.25" customHeight="1">
      <c r="A781" t="s">
        <v>16</v>
      </c>
      <c r="B781" t="s">
        <v>5788</v>
      </c>
      <c r="C781" t="s">
        <v>5789</v>
      </c>
      <c r="D781" t="s">
        <v>5799</v>
      </c>
      <c r="E781" t="s">
        <v>5800</v>
      </c>
      <c r="F781" t="s">
        <v>3547</v>
      </c>
      <c r="G781" t="s">
        <v>5801</v>
      </c>
    </row>
    <row r="782" spans="1:7" ht="11.25" customHeight="1">
      <c r="A782" t="s">
        <v>16</v>
      </c>
      <c r="B782" t="s">
        <v>5788</v>
      </c>
      <c r="C782" t="s">
        <v>5789</v>
      </c>
      <c r="D782" t="s">
        <v>5802</v>
      </c>
      <c r="E782" t="s">
        <v>5803</v>
      </c>
      <c r="F782" t="s">
        <v>3547</v>
      </c>
      <c r="G782" t="s">
        <v>5804</v>
      </c>
    </row>
    <row r="783" spans="1:7" ht="11.25" customHeight="1">
      <c r="A783" t="s">
        <v>16</v>
      </c>
      <c r="B783" t="s">
        <v>5788</v>
      </c>
      <c r="C783" t="s">
        <v>5789</v>
      </c>
      <c r="D783" t="s">
        <v>5805</v>
      </c>
      <c r="E783" t="s">
        <v>5806</v>
      </c>
      <c r="F783" t="s">
        <v>3547</v>
      </c>
      <c r="G783" t="s">
        <v>5807</v>
      </c>
    </row>
    <row r="784" spans="1:7" ht="11.25" customHeight="1">
      <c r="A784" t="s">
        <v>16</v>
      </c>
      <c r="B784" t="s">
        <v>5788</v>
      </c>
      <c r="C784" t="s">
        <v>5789</v>
      </c>
      <c r="D784" t="s">
        <v>5808</v>
      </c>
      <c r="E784" t="s">
        <v>5809</v>
      </c>
      <c r="F784" t="s">
        <v>3547</v>
      </c>
      <c r="G784" t="s">
        <v>5810</v>
      </c>
    </row>
    <row r="785" spans="1:7" ht="11.25" customHeight="1">
      <c r="A785" t="s">
        <v>16</v>
      </c>
      <c r="B785" t="s">
        <v>5788</v>
      </c>
      <c r="C785" t="s">
        <v>5789</v>
      </c>
      <c r="D785" t="s">
        <v>5811</v>
      </c>
      <c r="E785" t="s">
        <v>5812</v>
      </c>
      <c r="F785" t="s">
        <v>3547</v>
      </c>
      <c r="G785" t="s">
        <v>5813</v>
      </c>
    </row>
    <row r="786" spans="1:7" ht="11.25" customHeight="1">
      <c r="A786" t="s">
        <v>16</v>
      </c>
      <c r="B786" t="s">
        <v>5788</v>
      </c>
      <c r="C786" t="s">
        <v>5789</v>
      </c>
      <c r="D786" t="s">
        <v>5814</v>
      </c>
      <c r="E786" t="s">
        <v>5815</v>
      </c>
      <c r="F786" t="s">
        <v>3547</v>
      </c>
      <c r="G786" t="s">
        <v>5816</v>
      </c>
    </row>
    <row r="787" spans="1:7" ht="11.25" customHeight="1">
      <c r="A787" t="s">
        <v>16</v>
      </c>
      <c r="B787" t="s">
        <v>5788</v>
      </c>
      <c r="C787" t="s">
        <v>5789</v>
      </c>
      <c r="D787" t="s">
        <v>5817</v>
      </c>
      <c r="E787" t="s">
        <v>5818</v>
      </c>
      <c r="F787" t="s">
        <v>3547</v>
      </c>
      <c r="G787" t="s">
        <v>5819</v>
      </c>
    </row>
    <row r="788" spans="1:7" ht="11.25" customHeight="1">
      <c r="A788" t="s">
        <v>16</v>
      </c>
      <c r="B788" t="s">
        <v>5788</v>
      </c>
      <c r="C788" t="s">
        <v>5789</v>
      </c>
      <c r="D788" t="s">
        <v>5820</v>
      </c>
      <c r="E788" t="s">
        <v>5821</v>
      </c>
      <c r="F788" t="s">
        <v>3547</v>
      </c>
      <c r="G788" t="s">
        <v>5822</v>
      </c>
    </row>
    <row r="789" spans="1:7" ht="11.25" customHeight="1">
      <c r="A789" t="s">
        <v>16</v>
      </c>
      <c r="B789" t="s">
        <v>5788</v>
      </c>
      <c r="C789" t="s">
        <v>5789</v>
      </c>
      <c r="D789" t="s">
        <v>5823</v>
      </c>
      <c r="E789" t="s">
        <v>5824</v>
      </c>
      <c r="F789" t="s">
        <v>3547</v>
      </c>
      <c r="G789" t="s">
        <v>5825</v>
      </c>
    </row>
    <row r="790" spans="1:7" ht="11.25" customHeight="1">
      <c r="A790" t="s">
        <v>16</v>
      </c>
      <c r="B790" t="s">
        <v>5788</v>
      </c>
      <c r="C790" t="s">
        <v>5789</v>
      </c>
      <c r="D790" t="s">
        <v>5826</v>
      </c>
      <c r="E790" t="s">
        <v>5827</v>
      </c>
      <c r="F790" t="s">
        <v>3547</v>
      </c>
      <c r="G790" t="s">
        <v>5828</v>
      </c>
    </row>
    <row r="791" spans="1:7" ht="11.25" customHeight="1">
      <c r="A791" t="s">
        <v>16</v>
      </c>
      <c r="B791" t="s">
        <v>5788</v>
      </c>
      <c r="C791" t="s">
        <v>5789</v>
      </c>
      <c r="D791" t="s">
        <v>5788</v>
      </c>
      <c r="E791" t="s">
        <v>5789</v>
      </c>
      <c r="F791" t="s">
        <v>3544</v>
      </c>
      <c r="G791" t="s">
        <v>5829</v>
      </c>
    </row>
    <row r="792" spans="1:7" ht="11.25" customHeight="1">
      <c r="A792" t="s">
        <v>16</v>
      </c>
      <c r="B792" t="s">
        <v>5788</v>
      </c>
      <c r="C792" t="s">
        <v>5789</v>
      </c>
      <c r="D792" t="s">
        <v>5830</v>
      </c>
      <c r="E792" t="s">
        <v>5831</v>
      </c>
      <c r="F792" t="s">
        <v>3547</v>
      </c>
      <c r="G792" t="s">
        <v>5832</v>
      </c>
    </row>
    <row r="793" spans="1:7" ht="11.25" customHeight="1">
      <c r="A793" t="s">
        <v>16</v>
      </c>
      <c r="B793" t="s">
        <v>5788</v>
      </c>
      <c r="C793" t="s">
        <v>5789</v>
      </c>
      <c r="D793" t="s">
        <v>5833</v>
      </c>
      <c r="E793" t="s">
        <v>5834</v>
      </c>
      <c r="F793" t="s">
        <v>3547</v>
      </c>
      <c r="G793" t="s">
        <v>5835</v>
      </c>
    </row>
    <row r="794" spans="1:7" ht="11.25" customHeight="1">
      <c r="A794" t="s">
        <v>16</v>
      </c>
      <c r="B794" t="s">
        <v>5788</v>
      </c>
      <c r="C794" t="s">
        <v>5789</v>
      </c>
      <c r="D794" t="s">
        <v>5836</v>
      </c>
      <c r="E794" t="s">
        <v>5837</v>
      </c>
      <c r="F794" t="s">
        <v>3547</v>
      </c>
      <c r="G794" t="s">
        <v>5838</v>
      </c>
    </row>
    <row r="795" spans="1:7" ht="11.25" customHeight="1">
      <c r="A795" t="s">
        <v>16</v>
      </c>
      <c r="B795" t="s">
        <v>5788</v>
      </c>
      <c r="C795" t="s">
        <v>5789</v>
      </c>
      <c r="D795" t="s">
        <v>5839</v>
      </c>
      <c r="E795" t="s">
        <v>5840</v>
      </c>
      <c r="F795" t="s">
        <v>3547</v>
      </c>
      <c r="G795" t="s">
        <v>5841</v>
      </c>
    </row>
    <row r="796" spans="1:7" ht="11.25" customHeight="1">
      <c r="A796" t="s">
        <v>16</v>
      </c>
      <c r="B796" t="s">
        <v>5788</v>
      </c>
      <c r="C796" t="s">
        <v>5789</v>
      </c>
      <c r="D796" t="s">
        <v>5842</v>
      </c>
      <c r="E796" t="s">
        <v>5843</v>
      </c>
      <c r="F796" t="s">
        <v>3547</v>
      </c>
      <c r="G796" t="s">
        <v>5844</v>
      </c>
    </row>
    <row r="797" spans="1:7" ht="11.25" customHeight="1">
      <c r="A797" t="s">
        <v>16</v>
      </c>
      <c r="B797" t="s">
        <v>5788</v>
      </c>
      <c r="C797" t="s">
        <v>5789</v>
      </c>
      <c r="D797" t="s">
        <v>5845</v>
      </c>
      <c r="E797" t="s">
        <v>5846</v>
      </c>
      <c r="F797" t="s">
        <v>3547</v>
      </c>
      <c r="G797" t="s">
        <v>5847</v>
      </c>
    </row>
    <row r="798" spans="1:7" ht="11.25" customHeight="1">
      <c r="A798" t="s">
        <v>16</v>
      </c>
      <c r="B798" t="s">
        <v>5788</v>
      </c>
      <c r="C798" t="s">
        <v>5789</v>
      </c>
      <c r="D798" t="s">
        <v>5848</v>
      </c>
      <c r="E798" t="s">
        <v>5849</v>
      </c>
      <c r="F798" t="s">
        <v>3649</v>
      </c>
      <c r="G798" t="s">
        <v>5850</v>
      </c>
    </row>
    <row r="799" spans="1:7" ht="11.25" customHeight="1">
      <c r="A799" t="s">
        <v>16</v>
      </c>
      <c r="B799" t="s">
        <v>5851</v>
      </c>
      <c r="C799" t="s">
        <v>5852</v>
      </c>
      <c r="D799" t="s">
        <v>5853</v>
      </c>
      <c r="E799" t="s">
        <v>5854</v>
      </c>
      <c r="F799" t="s">
        <v>3547</v>
      </c>
      <c r="G799" t="s">
        <v>5855</v>
      </c>
    </row>
    <row r="800" spans="1:7" ht="11.25" customHeight="1">
      <c r="A800" t="s">
        <v>16</v>
      </c>
      <c r="B800" t="s">
        <v>5851</v>
      </c>
      <c r="C800" t="s">
        <v>5852</v>
      </c>
      <c r="D800" t="s">
        <v>4192</v>
      </c>
      <c r="E800" t="s">
        <v>5856</v>
      </c>
      <c r="F800" t="s">
        <v>3547</v>
      </c>
      <c r="G800" t="s">
        <v>5857</v>
      </c>
    </row>
    <row r="801" spans="1:7" ht="11.25" customHeight="1">
      <c r="A801" t="s">
        <v>16</v>
      </c>
      <c r="B801" t="s">
        <v>5851</v>
      </c>
      <c r="C801" t="s">
        <v>5852</v>
      </c>
      <c r="D801" t="s">
        <v>3922</v>
      </c>
      <c r="E801" t="s">
        <v>5858</v>
      </c>
      <c r="F801" t="s">
        <v>3547</v>
      </c>
      <c r="G801" t="s">
        <v>5859</v>
      </c>
    </row>
    <row r="802" spans="1:7" ht="11.25" customHeight="1">
      <c r="A802" t="s">
        <v>16</v>
      </c>
      <c r="B802" t="s">
        <v>5851</v>
      </c>
      <c r="C802" t="s">
        <v>5852</v>
      </c>
      <c r="D802" t="s">
        <v>5860</v>
      </c>
      <c r="E802" t="s">
        <v>5861</v>
      </c>
      <c r="F802" t="s">
        <v>3547</v>
      </c>
      <c r="G802" t="s">
        <v>5862</v>
      </c>
    </row>
    <row r="803" spans="1:7" ht="11.25" customHeight="1">
      <c r="A803" t="s">
        <v>16</v>
      </c>
      <c r="B803" t="s">
        <v>5851</v>
      </c>
      <c r="C803" t="s">
        <v>5852</v>
      </c>
      <c r="D803" t="s">
        <v>5863</v>
      </c>
      <c r="E803" t="s">
        <v>5864</v>
      </c>
      <c r="F803" t="s">
        <v>3547</v>
      </c>
      <c r="G803" t="s">
        <v>5865</v>
      </c>
    </row>
    <row r="804" spans="1:7" ht="11.25" customHeight="1">
      <c r="A804" t="s">
        <v>16</v>
      </c>
      <c r="B804" t="s">
        <v>5851</v>
      </c>
      <c r="C804" t="s">
        <v>5852</v>
      </c>
      <c r="D804" t="s">
        <v>5866</v>
      </c>
      <c r="E804" t="s">
        <v>5867</v>
      </c>
      <c r="F804" t="s">
        <v>3547</v>
      </c>
      <c r="G804" t="s">
        <v>5868</v>
      </c>
    </row>
    <row r="805" spans="1:7" ht="11.25" customHeight="1">
      <c r="A805" t="s">
        <v>16</v>
      </c>
      <c r="B805" t="s">
        <v>5851</v>
      </c>
      <c r="C805" t="s">
        <v>5852</v>
      </c>
      <c r="D805" t="s">
        <v>5869</v>
      </c>
      <c r="E805" t="s">
        <v>5870</v>
      </c>
      <c r="F805" t="s">
        <v>3547</v>
      </c>
      <c r="G805" t="s">
        <v>5871</v>
      </c>
    </row>
    <row r="806" spans="1:7" ht="11.25" customHeight="1">
      <c r="A806" t="s">
        <v>16</v>
      </c>
      <c r="B806" t="s">
        <v>5851</v>
      </c>
      <c r="C806" t="s">
        <v>5852</v>
      </c>
      <c r="D806" t="s">
        <v>5872</v>
      </c>
      <c r="E806" t="s">
        <v>5873</v>
      </c>
      <c r="F806" t="s">
        <v>3547</v>
      </c>
      <c r="G806" t="s">
        <v>5874</v>
      </c>
    </row>
    <row r="807" spans="1:7" ht="11.25" customHeight="1">
      <c r="A807" t="s">
        <v>16</v>
      </c>
      <c r="B807" t="s">
        <v>5851</v>
      </c>
      <c r="C807" t="s">
        <v>5852</v>
      </c>
      <c r="D807" t="s">
        <v>5875</v>
      </c>
      <c r="E807" t="s">
        <v>5876</v>
      </c>
      <c r="F807" t="s">
        <v>3547</v>
      </c>
      <c r="G807" t="s">
        <v>5877</v>
      </c>
    </row>
    <row r="808" spans="1:7" ht="11.25" customHeight="1">
      <c r="A808" t="s">
        <v>16</v>
      </c>
      <c r="B808" t="s">
        <v>5851</v>
      </c>
      <c r="C808" t="s">
        <v>5852</v>
      </c>
      <c r="D808" t="s">
        <v>5878</v>
      </c>
      <c r="E808" t="s">
        <v>5879</v>
      </c>
      <c r="F808" t="s">
        <v>3547</v>
      </c>
      <c r="G808" t="s">
        <v>5880</v>
      </c>
    </row>
    <row r="809" spans="1:7" ht="11.25" customHeight="1">
      <c r="A809" t="s">
        <v>16</v>
      </c>
      <c r="B809" t="s">
        <v>5851</v>
      </c>
      <c r="C809" t="s">
        <v>5852</v>
      </c>
      <c r="D809" t="s">
        <v>5881</v>
      </c>
      <c r="E809" t="s">
        <v>5882</v>
      </c>
      <c r="F809" t="s">
        <v>3547</v>
      </c>
      <c r="G809" t="s">
        <v>5883</v>
      </c>
    </row>
    <row r="810" spans="1:7" ht="11.25" customHeight="1">
      <c r="A810" t="s">
        <v>16</v>
      </c>
      <c r="B810" t="s">
        <v>5851</v>
      </c>
      <c r="C810" t="s">
        <v>5852</v>
      </c>
      <c r="D810" t="s">
        <v>5884</v>
      </c>
      <c r="E810" t="s">
        <v>5885</v>
      </c>
      <c r="F810" t="s">
        <v>3547</v>
      </c>
      <c r="G810" t="s">
        <v>5886</v>
      </c>
    </row>
    <row r="811" spans="1:7" ht="11.25" customHeight="1">
      <c r="A811" t="s">
        <v>16</v>
      </c>
      <c r="B811" t="s">
        <v>5851</v>
      </c>
      <c r="C811" t="s">
        <v>5852</v>
      </c>
      <c r="D811" t="s">
        <v>5887</v>
      </c>
      <c r="E811" t="s">
        <v>5888</v>
      </c>
      <c r="F811" t="s">
        <v>3547</v>
      </c>
      <c r="G811" t="s">
        <v>5889</v>
      </c>
    </row>
    <row r="812" spans="1:7" ht="11.25" customHeight="1">
      <c r="A812" t="s">
        <v>16</v>
      </c>
      <c r="B812" t="s">
        <v>5851</v>
      </c>
      <c r="C812" t="s">
        <v>5852</v>
      </c>
      <c r="D812" t="s">
        <v>5890</v>
      </c>
      <c r="E812" t="s">
        <v>5891</v>
      </c>
      <c r="F812" t="s">
        <v>3547</v>
      </c>
      <c r="G812" t="s">
        <v>5892</v>
      </c>
    </row>
    <row r="813" spans="1:7" ht="11.25" customHeight="1">
      <c r="A813" t="s">
        <v>16</v>
      </c>
      <c r="B813" t="s">
        <v>5851</v>
      </c>
      <c r="C813" t="s">
        <v>5852</v>
      </c>
      <c r="D813" t="s">
        <v>5893</v>
      </c>
      <c r="E813" t="s">
        <v>5894</v>
      </c>
      <c r="F813" t="s">
        <v>3547</v>
      </c>
      <c r="G813" t="s">
        <v>5895</v>
      </c>
    </row>
    <row r="814" spans="1:7" ht="11.25" customHeight="1">
      <c r="A814" t="s">
        <v>16</v>
      </c>
      <c r="B814" t="s">
        <v>5851</v>
      </c>
      <c r="C814" t="s">
        <v>5852</v>
      </c>
      <c r="D814" t="s">
        <v>5851</v>
      </c>
      <c r="E814" t="s">
        <v>5852</v>
      </c>
      <c r="F814" t="s">
        <v>3544</v>
      </c>
      <c r="G814" t="s">
        <v>5896</v>
      </c>
    </row>
    <row r="815" spans="1:7" ht="11.25" customHeight="1">
      <c r="A815" t="s">
        <v>16</v>
      </c>
      <c r="B815" t="s">
        <v>5851</v>
      </c>
      <c r="C815" t="s">
        <v>5852</v>
      </c>
      <c r="D815" t="s">
        <v>5897</v>
      </c>
      <c r="E815" t="s">
        <v>5898</v>
      </c>
      <c r="F815" t="s">
        <v>3547</v>
      </c>
      <c r="G815" t="s">
        <v>5899</v>
      </c>
    </row>
    <row r="816" spans="1:7" ht="11.25" customHeight="1">
      <c r="A816" t="s">
        <v>16</v>
      </c>
      <c r="B816" t="s">
        <v>5851</v>
      </c>
      <c r="C816" t="s">
        <v>5852</v>
      </c>
      <c r="D816" t="s">
        <v>5900</v>
      </c>
      <c r="E816" t="s">
        <v>5901</v>
      </c>
      <c r="F816" t="s">
        <v>3547</v>
      </c>
      <c r="G816" t="s">
        <v>5902</v>
      </c>
    </row>
    <row r="817" spans="1:7" ht="11.25" customHeight="1">
      <c r="A817" t="s">
        <v>16</v>
      </c>
      <c r="B817" t="s">
        <v>5851</v>
      </c>
      <c r="C817" t="s">
        <v>5852</v>
      </c>
      <c r="D817" t="s">
        <v>5903</v>
      </c>
      <c r="E817" t="s">
        <v>5904</v>
      </c>
      <c r="F817" t="s">
        <v>3547</v>
      </c>
      <c r="G817" t="s">
        <v>5905</v>
      </c>
    </row>
    <row r="818" spans="1:7" ht="11.25" customHeight="1">
      <c r="A818" t="s">
        <v>16</v>
      </c>
      <c r="B818" t="s">
        <v>5851</v>
      </c>
      <c r="C818" t="s">
        <v>5852</v>
      </c>
      <c r="D818" t="s">
        <v>5906</v>
      </c>
      <c r="E818" t="s">
        <v>5907</v>
      </c>
      <c r="F818" t="s">
        <v>3547</v>
      </c>
      <c r="G818" t="s">
        <v>5908</v>
      </c>
    </row>
    <row r="819" spans="1:7" ht="11.25" customHeight="1">
      <c r="A819" t="s">
        <v>16</v>
      </c>
      <c r="B819" t="s">
        <v>5851</v>
      </c>
      <c r="C819" t="s">
        <v>5852</v>
      </c>
      <c r="D819" t="s">
        <v>5909</v>
      </c>
      <c r="E819" t="s">
        <v>5910</v>
      </c>
      <c r="F819" t="s">
        <v>3547</v>
      </c>
      <c r="G819" t="s">
        <v>5911</v>
      </c>
    </row>
    <row r="820" spans="1:7" ht="11.25" customHeight="1">
      <c r="A820" t="s">
        <v>16</v>
      </c>
      <c r="B820" t="s">
        <v>5851</v>
      </c>
      <c r="C820" t="s">
        <v>5852</v>
      </c>
      <c r="D820" t="s">
        <v>5912</v>
      </c>
      <c r="E820" t="s">
        <v>5913</v>
      </c>
      <c r="F820" t="s">
        <v>3547</v>
      </c>
      <c r="G820" t="s">
        <v>5914</v>
      </c>
    </row>
    <row r="821" spans="1:7" ht="11.25" customHeight="1">
      <c r="A821" t="s">
        <v>16</v>
      </c>
      <c r="B821" t="s">
        <v>5851</v>
      </c>
      <c r="C821" t="s">
        <v>5852</v>
      </c>
      <c r="D821" t="s">
        <v>5915</v>
      </c>
      <c r="E821" t="s">
        <v>5916</v>
      </c>
      <c r="F821" t="s">
        <v>3547</v>
      </c>
      <c r="G821" t="s">
        <v>5917</v>
      </c>
    </row>
    <row r="822" spans="1:7" ht="11.25" customHeight="1">
      <c r="A822" t="s">
        <v>16</v>
      </c>
      <c r="B822" t="s">
        <v>5851</v>
      </c>
      <c r="C822" t="s">
        <v>5852</v>
      </c>
      <c r="D822" t="s">
        <v>5918</v>
      </c>
      <c r="E822" t="s">
        <v>5919</v>
      </c>
      <c r="F822" t="s">
        <v>3649</v>
      </c>
      <c r="G822" t="s">
        <v>5920</v>
      </c>
    </row>
    <row r="823" spans="1:7" ht="11.25" customHeight="1">
      <c r="A823" t="s">
        <v>16</v>
      </c>
      <c r="B823" t="s">
        <v>5921</v>
      </c>
      <c r="C823" t="s">
        <v>5922</v>
      </c>
      <c r="D823" t="s">
        <v>5923</v>
      </c>
      <c r="E823" t="s">
        <v>5924</v>
      </c>
      <c r="F823" t="s">
        <v>3547</v>
      </c>
      <c r="G823" t="s">
        <v>5925</v>
      </c>
    </row>
    <row r="824" spans="1:7" ht="11.25" customHeight="1">
      <c r="A824" t="s">
        <v>16</v>
      </c>
      <c r="B824" t="s">
        <v>5921</v>
      </c>
      <c r="C824" t="s">
        <v>5922</v>
      </c>
      <c r="D824" t="s">
        <v>5926</v>
      </c>
      <c r="E824" t="s">
        <v>5927</v>
      </c>
      <c r="F824" t="s">
        <v>3547</v>
      </c>
      <c r="G824" t="s">
        <v>5928</v>
      </c>
    </row>
    <row r="825" spans="1:7" ht="11.25" customHeight="1">
      <c r="A825" t="s">
        <v>16</v>
      </c>
      <c r="B825" t="s">
        <v>5921</v>
      </c>
      <c r="C825" t="s">
        <v>5922</v>
      </c>
      <c r="D825" t="s">
        <v>5929</v>
      </c>
      <c r="E825" t="s">
        <v>5930</v>
      </c>
      <c r="F825" t="s">
        <v>3547</v>
      </c>
      <c r="G825" t="s">
        <v>5931</v>
      </c>
    </row>
    <row r="826" spans="1:7" ht="11.25" customHeight="1">
      <c r="A826" t="s">
        <v>16</v>
      </c>
      <c r="B826" t="s">
        <v>5921</v>
      </c>
      <c r="C826" t="s">
        <v>5922</v>
      </c>
      <c r="D826" t="s">
        <v>5932</v>
      </c>
      <c r="E826" t="s">
        <v>5933</v>
      </c>
      <c r="F826" t="s">
        <v>3552</v>
      </c>
      <c r="G826" t="s">
        <v>5934</v>
      </c>
    </row>
    <row r="827" spans="1:7" ht="11.25" customHeight="1">
      <c r="A827" t="s">
        <v>16</v>
      </c>
      <c r="B827" t="s">
        <v>5921</v>
      </c>
      <c r="C827" t="s">
        <v>5922</v>
      </c>
      <c r="D827" t="s">
        <v>5935</v>
      </c>
      <c r="E827" t="s">
        <v>5936</v>
      </c>
      <c r="F827" t="s">
        <v>3547</v>
      </c>
      <c r="G827" t="s">
        <v>5937</v>
      </c>
    </row>
    <row r="828" spans="1:7" ht="11.25" customHeight="1">
      <c r="A828" t="s">
        <v>16</v>
      </c>
      <c r="B828" t="s">
        <v>5921</v>
      </c>
      <c r="C828" t="s">
        <v>5922</v>
      </c>
      <c r="D828" t="s">
        <v>5938</v>
      </c>
      <c r="E828" t="s">
        <v>5939</v>
      </c>
      <c r="F828" t="s">
        <v>3547</v>
      </c>
      <c r="G828" t="s">
        <v>5940</v>
      </c>
    </row>
    <row r="829" spans="1:7" ht="11.25" customHeight="1">
      <c r="A829" t="s">
        <v>16</v>
      </c>
      <c r="B829" t="s">
        <v>5921</v>
      </c>
      <c r="C829" t="s">
        <v>5922</v>
      </c>
      <c r="D829" t="s">
        <v>5941</v>
      </c>
      <c r="E829" t="s">
        <v>5942</v>
      </c>
      <c r="F829" t="s">
        <v>3547</v>
      </c>
      <c r="G829" t="s">
        <v>5943</v>
      </c>
    </row>
    <row r="830" spans="1:7" ht="11.25" customHeight="1">
      <c r="A830" t="s">
        <v>16</v>
      </c>
      <c r="B830" t="s">
        <v>5921</v>
      </c>
      <c r="C830" t="s">
        <v>5922</v>
      </c>
      <c r="D830" t="s">
        <v>5944</v>
      </c>
      <c r="E830" t="s">
        <v>5945</v>
      </c>
      <c r="F830" t="s">
        <v>3547</v>
      </c>
      <c r="G830" t="s">
        <v>5946</v>
      </c>
    </row>
    <row r="831" spans="1:7" ht="11.25" customHeight="1">
      <c r="A831" t="s">
        <v>16</v>
      </c>
      <c r="B831" t="s">
        <v>5921</v>
      </c>
      <c r="C831" t="s">
        <v>5922</v>
      </c>
      <c r="D831" t="s">
        <v>5947</v>
      </c>
      <c r="E831" t="s">
        <v>5948</v>
      </c>
      <c r="F831" t="s">
        <v>3547</v>
      </c>
      <c r="G831" t="s">
        <v>5949</v>
      </c>
    </row>
    <row r="832" spans="1:7" ht="11.25" customHeight="1">
      <c r="A832" t="s">
        <v>16</v>
      </c>
      <c r="B832" t="s">
        <v>5921</v>
      </c>
      <c r="C832" t="s">
        <v>5922</v>
      </c>
      <c r="D832" t="s">
        <v>4473</v>
      </c>
      <c r="E832" t="s">
        <v>5950</v>
      </c>
      <c r="F832" t="s">
        <v>3547</v>
      </c>
      <c r="G832" t="s">
        <v>5951</v>
      </c>
    </row>
    <row r="833" spans="1:7" ht="11.25" customHeight="1">
      <c r="A833" t="s">
        <v>16</v>
      </c>
      <c r="B833" t="s">
        <v>5921</v>
      </c>
      <c r="C833" t="s">
        <v>5922</v>
      </c>
      <c r="D833" t="s">
        <v>5089</v>
      </c>
      <c r="E833" t="s">
        <v>5952</v>
      </c>
      <c r="F833" t="s">
        <v>3547</v>
      </c>
      <c r="G833" t="s">
        <v>5953</v>
      </c>
    </row>
    <row r="834" spans="1:7" ht="11.25" customHeight="1">
      <c r="A834" t="s">
        <v>16</v>
      </c>
      <c r="B834" t="s">
        <v>5921</v>
      </c>
      <c r="C834" t="s">
        <v>5922</v>
      </c>
      <c r="D834" t="s">
        <v>5757</v>
      </c>
      <c r="E834" t="s">
        <v>5954</v>
      </c>
      <c r="F834" t="s">
        <v>3547</v>
      </c>
      <c r="G834" t="s">
        <v>5955</v>
      </c>
    </row>
    <row r="835" spans="1:7" ht="11.25" customHeight="1">
      <c r="A835" t="s">
        <v>16</v>
      </c>
      <c r="B835" t="s">
        <v>5921</v>
      </c>
      <c r="C835" t="s">
        <v>5922</v>
      </c>
      <c r="D835" t="s">
        <v>5956</v>
      </c>
      <c r="E835" t="s">
        <v>5957</v>
      </c>
      <c r="F835" t="s">
        <v>3547</v>
      </c>
      <c r="G835" t="s">
        <v>5958</v>
      </c>
    </row>
    <row r="836" spans="1:7" ht="11.25" customHeight="1">
      <c r="A836" t="s">
        <v>16</v>
      </c>
      <c r="B836" t="s">
        <v>5921</v>
      </c>
      <c r="C836" t="s">
        <v>5922</v>
      </c>
      <c r="D836" t="s">
        <v>5921</v>
      </c>
      <c r="E836" t="s">
        <v>5922</v>
      </c>
      <c r="F836" t="s">
        <v>3544</v>
      </c>
      <c r="G836" t="s">
        <v>5959</v>
      </c>
    </row>
    <row r="837" spans="1:7" ht="11.25" customHeight="1">
      <c r="A837" t="s">
        <v>16</v>
      </c>
      <c r="B837" t="s">
        <v>5921</v>
      </c>
      <c r="C837" t="s">
        <v>5922</v>
      </c>
      <c r="D837" t="s">
        <v>5960</v>
      </c>
      <c r="E837" t="s">
        <v>5961</v>
      </c>
      <c r="F837" t="s">
        <v>3547</v>
      </c>
      <c r="G837" t="s">
        <v>5962</v>
      </c>
    </row>
    <row r="838" spans="1:7" ht="11.25" customHeight="1">
      <c r="A838" t="s">
        <v>16</v>
      </c>
      <c r="B838" t="s">
        <v>5921</v>
      </c>
      <c r="C838" t="s">
        <v>5922</v>
      </c>
      <c r="D838" t="s">
        <v>5963</v>
      </c>
      <c r="E838" t="s">
        <v>5964</v>
      </c>
      <c r="F838" t="s">
        <v>3547</v>
      </c>
      <c r="G838" t="s">
        <v>5965</v>
      </c>
    </row>
    <row r="839" spans="1:7" ht="11.25" customHeight="1">
      <c r="A839" t="s">
        <v>16</v>
      </c>
      <c r="B839" t="s">
        <v>5921</v>
      </c>
      <c r="C839" t="s">
        <v>5922</v>
      </c>
      <c r="D839" t="s">
        <v>5966</v>
      </c>
      <c r="E839" t="s">
        <v>5967</v>
      </c>
      <c r="F839" t="s">
        <v>3547</v>
      </c>
      <c r="G839" t="s">
        <v>5968</v>
      </c>
    </row>
    <row r="840" spans="1:7" ht="11.25" customHeight="1">
      <c r="A840" t="s">
        <v>16</v>
      </c>
      <c r="B840" t="s">
        <v>5921</v>
      </c>
      <c r="C840" t="s">
        <v>5922</v>
      </c>
      <c r="D840" t="s">
        <v>5969</v>
      </c>
      <c r="E840" t="s">
        <v>5970</v>
      </c>
      <c r="F840" t="s">
        <v>3547</v>
      </c>
      <c r="G840" t="s">
        <v>5971</v>
      </c>
    </row>
    <row r="841" spans="1:7" ht="11.25" customHeight="1">
      <c r="A841" t="s">
        <v>16</v>
      </c>
      <c r="B841" t="s">
        <v>5972</v>
      </c>
      <c r="C841" t="s">
        <v>5973</v>
      </c>
      <c r="D841" t="s">
        <v>5974</v>
      </c>
      <c r="E841" t="s">
        <v>5975</v>
      </c>
      <c r="F841" t="s">
        <v>3547</v>
      </c>
      <c r="G841" t="s">
        <v>5976</v>
      </c>
    </row>
    <row r="842" spans="1:7" ht="11.25" customHeight="1">
      <c r="A842" t="s">
        <v>16</v>
      </c>
      <c r="B842" t="s">
        <v>5972</v>
      </c>
      <c r="C842" t="s">
        <v>5973</v>
      </c>
      <c r="D842" t="s">
        <v>5977</v>
      </c>
      <c r="E842" t="s">
        <v>5978</v>
      </c>
      <c r="F842" t="s">
        <v>3547</v>
      </c>
      <c r="G842" t="s">
        <v>5979</v>
      </c>
    </row>
    <row r="843" spans="1:7" ht="11.25" customHeight="1">
      <c r="A843" t="s">
        <v>16</v>
      </c>
      <c r="B843" t="s">
        <v>5972</v>
      </c>
      <c r="C843" t="s">
        <v>5973</v>
      </c>
      <c r="D843" t="s">
        <v>4034</v>
      </c>
      <c r="E843" t="s">
        <v>5980</v>
      </c>
      <c r="F843" t="s">
        <v>3547</v>
      </c>
      <c r="G843" t="s">
        <v>5981</v>
      </c>
    </row>
    <row r="844" spans="1:7" ht="11.25" customHeight="1">
      <c r="A844" t="s">
        <v>16</v>
      </c>
      <c r="B844" t="s">
        <v>5972</v>
      </c>
      <c r="C844" t="s">
        <v>5973</v>
      </c>
      <c r="D844" t="s">
        <v>5982</v>
      </c>
      <c r="E844" t="s">
        <v>5983</v>
      </c>
      <c r="F844" t="s">
        <v>3547</v>
      </c>
      <c r="G844" t="s">
        <v>5984</v>
      </c>
    </row>
    <row r="845" spans="1:7" ht="11.25" customHeight="1">
      <c r="A845" t="s">
        <v>16</v>
      </c>
      <c r="B845" t="s">
        <v>5972</v>
      </c>
      <c r="C845" t="s">
        <v>5973</v>
      </c>
      <c r="D845" t="s">
        <v>5985</v>
      </c>
      <c r="E845" t="s">
        <v>5986</v>
      </c>
      <c r="F845" t="s">
        <v>3547</v>
      </c>
      <c r="G845" t="s">
        <v>5987</v>
      </c>
    </row>
    <row r="846" spans="1:7" ht="11.25" customHeight="1">
      <c r="A846" t="s">
        <v>16</v>
      </c>
      <c r="B846" t="s">
        <v>5972</v>
      </c>
      <c r="C846" t="s">
        <v>5973</v>
      </c>
      <c r="D846" t="s">
        <v>5988</v>
      </c>
      <c r="E846" t="s">
        <v>5989</v>
      </c>
      <c r="F846" t="s">
        <v>3547</v>
      </c>
      <c r="G846" t="s">
        <v>5990</v>
      </c>
    </row>
    <row r="847" spans="1:7" ht="11.25" customHeight="1">
      <c r="A847" t="s">
        <v>16</v>
      </c>
      <c r="B847" t="s">
        <v>5972</v>
      </c>
      <c r="C847" t="s">
        <v>5973</v>
      </c>
      <c r="D847" t="s">
        <v>5991</v>
      </c>
      <c r="E847" t="s">
        <v>5992</v>
      </c>
      <c r="F847" t="s">
        <v>3547</v>
      </c>
      <c r="G847" t="s">
        <v>5993</v>
      </c>
    </row>
    <row r="848" spans="1:7" ht="11.25" customHeight="1">
      <c r="A848" t="s">
        <v>16</v>
      </c>
      <c r="B848" t="s">
        <v>5972</v>
      </c>
      <c r="C848" t="s">
        <v>5973</v>
      </c>
      <c r="D848" t="s">
        <v>5994</v>
      </c>
      <c r="E848" t="s">
        <v>5995</v>
      </c>
      <c r="F848" t="s">
        <v>3547</v>
      </c>
      <c r="G848" t="s">
        <v>5996</v>
      </c>
    </row>
    <row r="849" spans="1:7" ht="11.25" customHeight="1">
      <c r="A849" t="s">
        <v>16</v>
      </c>
      <c r="B849" t="s">
        <v>5972</v>
      </c>
      <c r="C849" t="s">
        <v>5973</v>
      </c>
      <c r="D849" t="s">
        <v>5997</v>
      </c>
      <c r="E849" t="s">
        <v>5998</v>
      </c>
      <c r="F849" t="s">
        <v>3547</v>
      </c>
      <c r="G849" t="s">
        <v>5999</v>
      </c>
    </row>
    <row r="850" spans="1:7" ht="11.25" customHeight="1">
      <c r="A850" t="s">
        <v>16</v>
      </c>
      <c r="B850" t="s">
        <v>5972</v>
      </c>
      <c r="C850" t="s">
        <v>5973</v>
      </c>
      <c r="D850" t="s">
        <v>6000</v>
      </c>
      <c r="E850" t="s">
        <v>6001</v>
      </c>
      <c r="F850" t="s">
        <v>3552</v>
      </c>
      <c r="G850" t="s">
        <v>6002</v>
      </c>
    </row>
    <row r="851" spans="1:7" ht="11.25" customHeight="1">
      <c r="A851" t="s">
        <v>16</v>
      </c>
      <c r="B851" t="s">
        <v>5972</v>
      </c>
      <c r="C851" t="s">
        <v>5973</v>
      </c>
      <c r="D851" t="s">
        <v>6003</v>
      </c>
      <c r="E851" t="s">
        <v>6004</v>
      </c>
      <c r="F851" t="s">
        <v>3547</v>
      </c>
      <c r="G851" t="s">
        <v>6005</v>
      </c>
    </row>
    <row r="852" spans="1:7" ht="11.25" customHeight="1">
      <c r="A852" t="s">
        <v>16</v>
      </c>
      <c r="B852" t="s">
        <v>5972</v>
      </c>
      <c r="C852" t="s">
        <v>5973</v>
      </c>
      <c r="D852" t="s">
        <v>6006</v>
      </c>
      <c r="E852" t="s">
        <v>6007</v>
      </c>
      <c r="F852" t="s">
        <v>3547</v>
      </c>
      <c r="G852" t="s">
        <v>6008</v>
      </c>
    </row>
    <row r="853" spans="1:7" ht="11.25" customHeight="1">
      <c r="A853" t="s">
        <v>16</v>
      </c>
      <c r="B853" t="s">
        <v>5972</v>
      </c>
      <c r="C853" t="s">
        <v>5973</v>
      </c>
      <c r="D853" t="s">
        <v>6009</v>
      </c>
      <c r="E853" t="s">
        <v>6010</v>
      </c>
      <c r="F853" t="s">
        <v>3547</v>
      </c>
      <c r="G853" t="s">
        <v>6011</v>
      </c>
    </row>
    <row r="854" spans="1:7" ht="11.25" customHeight="1">
      <c r="A854" t="s">
        <v>16</v>
      </c>
      <c r="B854" t="s">
        <v>5972</v>
      </c>
      <c r="C854" t="s">
        <v>5973</v>
      </c>
      <c r="D854" t="s">
        <v>6012</v>
      </c>
      <c r="E854" t="s">
        <v>6013</v>
      </c>
      <c r="F854" t="s">
        <v>3547</v>
      </c>
      <c r="G854" t="s">
        <v>6014</v>
      </c>
    </row>
    <row r="855" spans="1:7" ht="11.25" customHeight="1">
      <c r="A855" t="s">
        <v>16</v>
      </c>
      <c r="B855" t="s">
        <v>5972</v>
      </c>
      <c r="C855" t="s">
        <v>5973</v>
      </c>
      <c r="D855" t="s">
        <v>6015</v>
      </c>
      <c r="E855" t="s">
        <v>6016</v>
      </c>
      <c r="F855" t="s">
        <v>3547</v>
      </c>
      <c r="G855" t="s">
        <v>6017</v>
      </c>
    </row>
    <row r="856" spans="1:7" ht="11.25" customHeight="1">
      <c r="A856" t="s">
        <v>16</v>
      </c>
      <c r="B856" t="s">
        <v>5972</v>
      </c>
      <c r="C856" t="s">
        <v>5973</v>
      </c>
      <c r="D856" t="s">
        <v>6018</v>
      </c>
      <c r="E856" t="s">
        <v>6019</v>
      </c>
      <c r="F856" t="s">
        <v>3547</v>
      </c>
      <c r="G856" t="s">
        <v>6020</v>
      </c>
    </row>
    <row r="857" spans="1:7" ht="11.25" customHeight="1">
      <c r="A857" t="s">
        <v>16</v>
      </c>
      <c r="B857" t="s">
        <v>5972</v>
      </c>
      <c r="C857" t="s">
        <v>5973</v>
      </c>
      <c r="D857" t="s">
        <v>6021</v>
      </c>
      <c r="E857" t="s">
        <v>6022</v>
      </c>
      <c r="F857" t="s">
        <v>3547</v>
      </c>
      <c r="G857" t="s">
        <v>6023</v>
      </c>
    </row>
    <row r="858" spans="1:7" ht="11.25" customHeight="1">
      <c r="A858" t="s">
        <v>16</v>
      </c>
      <c r="B858" t="s">
        <v>5972</v>
      </c>
      <c r="C858" t="s">
        <v>5973</v>
      </c>
      <c r="D858" t="s">
        <v>5086</v>
      </c>
      <c r="E858" t="s">
        <v>6024</v>
      </c>
      <c r="F858" t="s">
        <v>3547</v>
      </c>
      <c r="G858" t="s">
        <v>6025</v>
      </c>
    </row>
    <row r="859" spans="1:7" ht="11.25" customHeight="1">
      <c r="A859" t="s">
        <v>16</v>
      </c>
      <c r="B859" t="s">
        <v>5972</v>
      </c>
      <c r="C859" t="s">
        <v>5973</v>
      </c>
      <c r="D859" t="s">
        <v>6026</v>
      </c>
      <c r="E859" t="s">
        <v>6027</v>
      </c>
      <c r="F859" t="s">
        <v>3547</v>
      </c>
      <c r="G859" t="s">
        <v>6028</v>
      </c>
    </row>
    <row r="860" spans="1:7" ht="11.25" customHeight="1">
      <c r="A860" t="s">
        <v>16</v>
      </c>
      <c r="B860" t="s">
        <v>5972</v>
      </c>
      <c r="C860" t="s">
        <v>5973</v>
      </c>
      <c r="D860" t="s">
        <v>5972</v>
      </c>
      <c r="E860" t="s">
        <v>5973</v>
      </c>
      <c r="F860" t="s">
        <v>3544</v>
      </c>
      <c r="G860" t="s">
        <v>6029</v>
      </c>
    </row>
    <row r="861" spans="1:7" ht="11.25" customHeight="1">
      <c r="A861" t="s">
        <v>16</v>
      </c>
      <c r="B861" t="s">
        <v>5972</v>
      </c>
      <c r="C861" t="s">
        <v>5973</v>
      </c>
      <c r="D861" t="s">
        <v>6030</v>
      </c>
      <c r="E861" t="s">
        <v>6031</v>
      </c>
      <c r="F861" t="s">
        <v>3547</v>
      </c>
      <c r="G861" t="s">
        <v>6032</v>
      </c>
    </row>
    <row r="862" spans="1:7" ht="11.25" customHeight="1">
      <c r="A862" t="s">
        <v>16</v>
      </c>
      <c r="B862" t="s">
        <v>5972</v>
      </c>
      <c r="C862" t="s">
        <v>5973</v>
      </c>
      <c r="D862" t="s">
        <v>4889</v>
      </c>
      <c r="E862" t="s">
        <v>6033</v>
      </c>
      <c r="F862" t="s">
        <v>3547</v>
      </c>
      <c r="G862" t="s">
        <v>6034</v>
      </c>
    </row>
    <row r="863" spans="1:7" ht="11.25" customHeight="1">
      <c r="A863" t="s">
        <v>16</v>
      </c>
      <c r="B863" t="s">
        <v>6035</v>
      </c>
      <c r="C863" t="s">
        <v>6036</v>
      </c>
      <c r="D863" t="s">
        <v>6037</v>
      </c>
      <c r="E863" t="s">
        <v>6038</v>
      </c>
      <c r="F863" t="s">
        <v>3547</v>
      </c>
      <c r="G863" t="s">
        <v>6039</v>
      </c>
    </row>
    <row r="864" spans="1:7" ht="11.25" customHeight="1">
      <c r="A864" t="s">
        <v>16</v>
      </c>
      <c r="B864" t="s">
        <v>6035</v>
      </c>
      <c r="C864" t="s">
        <v>6036</v>
      </c>
      <c r="D864" t="s">
        <v>6040</v>
      </c>
      <c r="E864" t="s">
        <v>6041</v>
      </c>
      <c r="F864" t="s">
        <v>3547</v>
      </c>
      <c r="G864" t="s">
        <v>6042</v>
      </c>
    </row>
    <row r="865" spans="1:7" ht="11.25" customHeight="1">
      <c r="A865" t="s">
        <v>16</v>
      </c>
      <c r="B865" t="s">
        <v>6035</v>
      </c>
      <c r="C865" t="s">
        <v>6036</v>
      </c>
      <c r="D865" t="s">
        <v>6043</v>
      </c>
      <c r="E865" t="s">
        <v>6044</v>
      </c>
      <c r="F865" t="s">
        <v>3547</v>
      </c>
      <c r="G865" t="s">
        <v>6045</v>
      </c>
    </row>
    <row r="866" spans="1:7" ht="11.25" customHeight="1">
      <c r="A866" t="s">
        <v>16</v>
      </c>
      <c r="B866" t="s">
        <v>6035</v>
      </c>
      <c r="C866" t="s">
        <v>6036</v>
      </c>
      <c r="D866" t="s">
        <v>6046</v>
      </c>
      <c r="E866" t="s">
        <v>6047</v>
      </c>
      <c r="F866" t="s">
        <v>3547</v>
      </c>
      <c r="G866" t="s">
        <v>6048</v>
      </c>
    </row>
    <row r="867" spans="1:7" ht="11.25" customHeight="1">
      <c r="A867" t="s">
        <v>16</v>
      </c>
      <c r="B867" t="s">
        <v>6035</v>
      </c>
      <c r="C867" t="s">
        <v>6036</v>
      </c>
      <c r="D867" t="s">
        <v>6049</v>
      </c>
      <c r="E867" t="s">
        <v>6050</v>
      </c>
      <c r="F867" t="s">
        <v>3547</v>
      </c>
      <c r="G867" t="s">
        <v>6051</v>
      </c>
    </row>
    <row r="868" spans="1:7" ht="11.25" customHeight="1">
      <c r="A868" t="s">
        <v>16</v>
      </c>
      <c r="B868" t="s">
        <v>6035</v>
      </c>
      <c r="C868" t="s">
        <v>6036</v>
      </c>
      <c r="D868" t="s">
        <v>6052</v>
      </c>
      <c r="E868" t="s">
        <v>6053</v>
      </c>
      <c r="F868" t="s">
        <v>3547</v>
      </c>
      <c r="G868" t="s">
        <v>6054</v>
      </c>
    </row>
    <row r="869" spans="1:7" ht="11.25" customHeight="1">
      <c r="A869" t="s">
        <v>16</v>
      </c>
      <c r="B869" t="s">
        <v>6035</v>
      </c>
      <c r="C869" t="s">
        <v>6036</v>
      </c>
      <c r="D869" t="s">
        <v>6055</v>
      </c>
      <c r="E869" t="s">
        <v>6056</v>
      </c>
      <c r="F869" t="s">
        <v>3547</v>
      </c>
      <c r="G869" t="s">
        <v>6057</v>
      </c>
    </row>
    <row r="870" spans="1:7" ht="11.25" customHeight="1">
      <c r="A870" t="s">
        <v>16</v>
      </c>
      <c r="B870" t="s">
        <v>6035</v>
      </c>
      <c r="C870" t="s">
        <v>6036</v>
      </c>
      <c r="D870" t="s">
        <v>6058</v>
      </c>
      <c r="E870" t="s">
        <v>6059</v>
      </c>
      <c r="F870" t="s">
        <v>3547</v>
      </c>
      <c r="G870" t="s">
        <v>6060</v>
      </c>
    </row>
    <row r="871" spans="1:7" ht="11.25" customHeight="1">
      <c r="A871" t="s">
        <v>16</v>
      </c>
      <c r="B871" t="s">
        <v>6035</v>
      </c>
      <c r="C871" t="s">
        <v>6036</v>
      </c>
      <c r="D871" t="s">
        <v>6061</v>
      </c>
      <c r="E871" t="s">
        <v>6062</v>
      </c>
      <c r="F871" t="s">
        <v>3547</v>
      </c>
      <c r="G871" t="s">
        <v>6063</v>
      </c>
    </row>
    <row r="872" spans="1:7" ht="11.25" customHeight="1">
      <c r="A872" t="s">
        <v>16</v>
      </c>
      <c r="B872" t="s">
        <v>6035</v>
      </c>
      <c r="C872" t="s">
        <v>6036</v>
      </c>
      <c r="D872" t="s">
        <v>6064</v>
      </c>
      <c r="E872" t="s">
        <v>6065</v>
      </c>
      <c r="F872" t="s">
        <v>3547</v>
      </c>
      <c r="G872" t="s">
        <v>6066</v>
      </c>
    </row>
    <row r="873" spans="1:7" ht="11.25" customHeight="1">
      <c r="A873" t="s">
        <v>16</v>
      </c>
      <c r="B873" t="s">
        <v>6035</v>
      </c>
      <c r="C873" t="s">
        <v>6036</v>
      </c>
      <c r="D873" t="s">
        <v>6067</v>
      </c>
      <c r="E873" t="s">
        <v>6068</v>
      </c>
      <c r="F873" t="s">
        <v>3547</v>
      </c>
      <c r="G873" t="s">
        <v>6069</v>
      </c>
    </row>
    <row r="874" spans="1:7" ht="11.25" customHeight="1">
      <c r="A874" t="s">
        <v>16</v>
      </c>
      <c r="B874" t="s">
        <v>6035</v>
      </c>
      <c r="C874" t="s">
        <v>6036</v>
      </c>
      <c r="D874" t="s">
        <v>6070</v>
      </c>
      <c r="E874" t="s">
        <v>6071</v>
      </c>
      <c r="F874" t="s">
        <v>3547</v>
      </c>
      <c r="G874" t="s">
        <v>6072</v>
      </c>
    </row>
    <row r="875" spans="1:7" ht="11.25" customHeight="1">
      <c r="A875" t="s">
        <v>16</v>
      </c>
      <c r="B875" t="s">
        <v>6035</v>
      </c>
      <c r="C875" t="s">
        <v>6036</v>
      </c>
      <c r="D875" t="s">
        <v>6073</v>
      </c>
      <c r="E875" t="s">
        <v>6074</v>
      </c>
      <c r="F875" t="s">
        <v>3547</v>
      </c>
      <c r="G875" t="s">
        <v>6075</v>
      </c>
    </row>
    <row r="876" spans="1:7" ht="11.25" customHeight="1">
      <c r="A876" t="s">
        <v>16</v>
      </c>
      <c r="B876" t="s">
        <v>6035</v>
      </c>
      <c r="C876" t="s">
        <v>6036</v>
      </c>
      <c r="D876" t="s">
        <v>6076</v>
      </c>
      <c r="E876" t="s">
        <v>6077</v>
      </c>
      <c r="F876" t="s">
        <v>3547</v>
      </c>
      <c r="G876" t="s">
        <v>6078</v>
      </c>
    </row>
    <row r="877" spans="1:7" ht="11.25" customHeight="1">
      <c r="A877" t="s">
        <v>16</v>
      </c>
      <c r="B877" t="s">
        <v>6035</v>
      </c>
      <c r="C877" t="s">
        <v>6036</v>
      </c>
      <c r="D877" t="s">
        <v>6079</v>
      </c>
      <c r="E877" t="s">
        <v>6080</v>
      </c>
      <c r="F877" t="s">
        <v>3547</v>
      </c>
      <c r="G877" t="s">
        <v>6081</v>
      </c>
    </row>
    <row r="878" spans="1:7" ht="11.25" customHeight="1">
      <c r="A878" t="s">
        <v>16</v>
      </c>
      <c r="B878" t="s">
        <v>6035</v>
      </c>
      <c r="C878" t="s">
        <v>6036</v>
      </c>
      <c r="D878" t="s">
        <v>6082</v>
      </c>
      <c r="E878" t="s">
        <v>6083</v>
      </c>
      <c r="F878" t="s">
        <v>3547</v>
      </c>
      <c r="G878" t="s">
        <v>6084</v>
      </c>
    </row>
    <row r="879" spans="1:7" ht="11.25" customHeight="1">
      <c r="A879" t="s">
        <v>16</v>
      </c>
      <c r="B879" t="s">
        <v>6035</v>
      </c>
      <c r="C879" t="s">
        <v>6036</v>
      </c>
      <c r="D879" t="s">
        <v>3998</v>
      </c>
      <c r="E879" t="s">
        <v>6085</v>
      </c>
      <c r="F879" t="s">
        <v>3547</v>
      </c>
      <c r="G879" t="s">
        <v>6086</v>
      </c>
    </row>
    <row r="880" spans="1:7" ht="11.25" customHeight="1">
      <c r="A880" t="s">
        <v>16</v>
      </c>
      <c r="B880" t="s">
        <v>6035</v>
      </c>
      <c r="C880" t="s">
        <v>6036</v>
      </c>
      <c r="D880" t="s">
        <v>6087</v>
      </c>
      <c r="E880" t="s">
        <v>6088</v>
      </c>
      <c r="F880" t="s">
        <v>3547</v>
      </c>
      <c r="G880" t="s">
        <v>6089</v>
      </c>
    </row>
    <row r="881" spans="1:7" ht="11.25" customHeight="1">
      <c r="A881" t="s">
        <v>16</v>
      </c>
      <c r="B881" t="s">
        <v>6035</v>
      </c>
      <c r="C881" t="s">
        <v>6036</v>
      </c>
      <c r="D881" t="s">
        <v>6090</v>
      </c>
      <c r="E881" t="s">
        <v>6091</v>
      </c>
      <c r="F881" t="s">
        <v>3547</v>
      </c>
      <c r="G881" t="s">
        <v>6092</v>
      </c>
    </row>
    <row r="882" spans="1:7" ht="11.25" customHeight="1">
      <c r="A882" t="s">
        <v>16</v>
      </c>
      <c r="B882" t="s">
        <v>6035</v>
      </c>
      <c r="C882" t="s">
        <v>6036</v>
      </c>
      <c r="D882" t="s">
        <v>6093</v>
      </c>
      <c r="E882" t="s">
        <v>6094</v>
      </c>
      <c r="F882" t="s">
        <v>3547</v>
      </c>
      <c r="G882" t="s">
        <v>6095</v>
      </c>
    </row>
    <row r="883" spans="1:7" ht="11.25" customHeight="1">
      <c r="A883" t="s">
        <v>16</v>
      </c>
      <c r="B883" t="s">
        <v>6035</v>
      </c>
      <c r="C883" t="s">
        <v>6036</v>
      </c>
      <c r="D883" t="s">
        <v>6096</v>
      </c>
      <c r="E883" t="s">
        <v>6097</v>
      </c>
      <c r="F883" t="s">
        <v>3547</v>
      </c>
      <c r="G883" t="s">
        <v>6098</v>
      </c>
    </row>
    <row r="884" spans="1:7" ht="11.25" customHeight="1">
      <c r="A884" t="s">
        <v>16</v>
      </c>
      <c r="B884" t="s">
        <v>6035</v>
      </c>
      <c r="C884" t="s">
        <v>6036</v>
      </c>
      <c r="D884" t="s">
        <v>6035</v>
      </c>
      <c r="E884" t="s">
        <v>6036</v>
      </c>
      <c r="F884" t="s">
        <v>3544</v>
      </c>
      <c r="G884" t="s">
        <v>6099</v>
      </c>
    </row>
    <row r="885" spans="1:7" ht="11.25" customHeight="1">
      <c r="A885" t="s">
        <v>16</v>
      </c>
      <c r="B885" t="s">
        <v>6035</v>
      </c>
      <c r="C885" t="s">
        <v>6036</v>
      </c>
      <c r="D885" t="s">
        <v>6100</v>
      </c>
      <c r="E885" t="s">
        <v>6101</v>
      </c>
      <c r="F885" t="s">
        <v>3547</v>
      </c>
      <c r="G885" t="s">
        <v>6102</v>
      </c>
    </row>
    <row r="886" spans="1:7" ht="11.25" customHeight="1">
      <c r="A886" t="s">
        <v>16</v>
      </c>
      <c r="B886" t="s">
        <v>6035</v>
      </c>
      <c r="C886" t="s">
        <v>6036</v>
      </c>
      <c r="D886" t="s">
        <v>6103</v>
      </c>
      <c r="E886" t="s">
        <v>6104</v>
      </c>
      <c r="F886" t="s">
        <v>3547</v>
      </c>
      <c r="G886" t="s">
        <v>6105</v>
      </c>
    </row>
    <row r="887" spans="1:7" ht="11.25" customHeight="1">
      <c r="A887" t="s">
        <v>16</v>
      </c>
      <c r="B887" t="s">
        <v>6106</v>
      </c>
      <c r="C887" t="s">
        <v>6107</v>
      </c>
      <c r="D887" t="s">
        <v>6108</v>
      </c>
      <c r="E887" t="s">
        <v>6109</v>
      </c>
      <c r="F887" t="s">
        <v>3547</v>
      </c>
      <c r="G887" t="s">
        <v>6110</v>
      </c>
    </row>
    <row r="888" spans="1:7" ht="11.25" customHeight="1">
      <c r="A888" t="s">
        <v>16</v>
      </c>
      <c r="B888" t="s">
        <v>6106</v>
      </c>
      <c r="C888" t="s">
        <v>6107</v>
      </c>
      <c r="D888" t="s">
        <v>6111</v>
      </c>
      <c r="E888" t="s">
        <v>6112</v>
      </c>
      <c r="F888" t="s">
        <v>3547</v>
      </c>
      <c r="G888" t="s">
        <v>6113</v>
      </c>
    </row>
    <row r="889" spans="1:7" ht="11.25" customHeight="1">
      <c r="A889" t="s">
        <v>16</v>
      </c>
      <c r="B889" t="s">
        <v>6106</v>
      </c>
      <c r="C889" t="s">
        <v>6107</v>
      </c>
      <c r="D889" t="s">
        <v>6114</v>
      </c>
      <c r="E889" t="s">
        <v>6115</v>
      </c>
      <c r="F889" t="s">
        <v>3547</v>
      </c>
      <c r="G889" t="s">
        <v>6116</v>
      </c>
    </row>
    <row r="890" spans="1:7" ht="11.25" customHeight="1">
      <c r="A890" t="s">
        <v>16</v>
      </c>
      <c r="B890" t="s">
        <v>6106</v>
      </c>
      <c r="C890" t="s">
        <v>6107</v>
      </c>
      <c r="D890" t="s">
        <v>6117</v>
      </c>
      <c r="E890" t="s">
        <v>6118</v>
      </c>
      <c r="F890" t="s">
        <v>3547</v>
      </c>
      <c r="G890" t="s">
        <v>6119</v>
      </c>
    </row>
    <row r="891" spans="1:7" ht="11.25" customHeight="1">
      <c r="A891" t="s">
        <v>16</v>
      </c>
      <c r="B891" t="s">
        <v>6106</v>
      </c>
      <c r="C891" t="s">
        <v>6107</v>
      </c>
      <c r="D891" t="s">
        <v>6120</v>
      </c>
      <c r="E891" t="s">
        <v>6121</v>
      </c>
      <c r="F891" t="s">
        <v>3547</v>
      </c>
      <c r="G891" t="s">
        <v>6122</v>
      </c>
    </row>
    <row r="892" spans="1:7" ht="11.25" customHeight="1">
      <c r="A892" t="s">
        <v>16</v>
      </c>
      <c r="B892" t="s">
        <v>6106</v>
      </c>
      <c r="C892" t="s">
        <v>6107</v>
      </c>
      <c r="D892" t="s">
        <v>6123</v>
      </c>
      <c r="E892" t="s">
        <v>6124</v>
      </c>
      <c r="F892" t="s">
        <v>3547</v>
      </c>
      <c r="G892" t="s">
        <v>6125</v>
      </c>
    </row>
    <row r="893" spans="1:7" ht="11.25" customHeight="1">
      <c r="A893" t="s">
        <v>16</v>
      </c>
      <c r="B893" t="s">
        <v>6106</v>
      </c>
      <c r="C893" t="s">
        <v>6107</v>
      </c>
      <c r="D893" t="s">
        <v>6126</v>
      </c>
      <c r="E893" t="s">
        <v>6127</v>
      </c>
      <c r="F893" t="s">
        <v>3547</v>
      </c>
      <c r="G893" t="s">
        <v>6128</v>
      </c>
    </row>
    <row r="894" spans="1:7" ht="11.25" customHeight="1">
      <c r="A894" t="s">
        <v>16</v>
      </c>
      <c r="B894" t="s">
        <v>6106</v>
      </c>
      <c r="C894" t="s">
        <v>6107</v>
      </c>
      <c r="D894" t="s">
        <v>6129</v>
      </c>
      <c r="E894" t="s">
        <v>6130</v>
      </c>
      <c r="F894" t="s">
        <v>3547</v>
      </c>
      <c r="G894" t="s">
        <v>6131</v>
      </c>
    </row>
    <row r="895" spans="1:7" ht="11.25" customHeight="1">
      <c r="A895" t="s">
        <v>16</v>
      </c>
      <c r="B895" t="s">
        <v>6106</v>
      </c>
      <c r="C895" t="s">
        <v>6107</v>
      </c>
      <c r="D895" t="s">
        <v>6132</v>
      </c>
      <c r="E895" t="s">
        <v>6133</v>
      </c>
      <c r="F895" t="s">
        <v>3547</v>
      </c>
      <c r="G895" t="s">
        <v>6134</v>
      </c>
    </row>
    <row r="896" spans="1:7" ht="11.25" customHeight="1">
      <c r="A896" t="s">
        <v>16</v>
      </c>
      <c r="B896" t="s">
        <v>6106</v>
      </c>
      <c r="C896" t="s">
        <v>6107</v>
      </c>
      <c r="D896" t="s">
        <v>6135</v>
      </c>
      <c r="E896" t="s">
        <v>6136</v>
      </c>
      <c r="F896" t="s">
        <v>3547</v>
      </c>
      <c r="G896" t="s">
        <v>6137</v>
      </c>
    </row>
    <row r="897" spans="1:7" ht="11.25" customHeight="1">
      <c r="A897" t="s">
        <v>16</v>
      </c>
      <c r="B897" t="s">
        <v>6106</v>
      </c>
      <c r="C897" t="s">
        <v>6107</v>
      </c>
      <c r="D897" t="s">
        <v>6106</v>
      </c>
      <c r="E897" t="s">
        <v>6107</v>
      </c>
      <c r="F897" t="s">
        <v>3544</v>
      </c>
      <c r="G897" t="s">
        <v>6138</v>
      </c>
    </row>
    <row r="898" spans="1:7" ht="11.25" customHeight="1">
      <c r="A898" t="s">
        <v>16</v>
      </c>
      <c r="B898" t="s">
        <v>6106</v>
      </c>
      <c r="C898" t="s">
        <v>6107</v>
      </c>
      <c r="D898" t="s">
        <v>6139</v>
      </c>
      <c r="E898" t="s">
        <v>6140</v>
      </c>
      <c r="F898" t="s">
        <v>3547</v>
      </c>
      <c r="G898" t="s">
        <v>6141</v>
      </c>
    </row>
    <row r="899" spans="1:7" ht="11.25" customHeight="1">
      <c r="A899" t="s">
        <v>16</v>
      </c>
      <c r="B899" t="s">
        <v>6106</v>
      </c>
      <c r="C899" t="s">
        <v>6107</v>
      </c>
      <c r="D899" t="s">
        <v>6142</v>
      </c>
      <c r="E899" t="s">
        <v>6143</v>
      </c>
      <c r="F899" t="s">
        <v>3547</v>
      </c>
      <c r="G899" t="s">
        <v>6144</v>
      </c>
    </row>
    <row r="900" spans="1:7" ht="11.25" customHeight="1">
      <c r="A900" t="s">
        <v>16</v>
      </c>
      <c r="B900" t="s">
        <v>6106</v>
      </c>
      <c r="C900" t="s">
        <v>6107</v>
      </c>
      <c r="D900" t="s">
        <v>6145</v>
      </c>
      <c r="E900" t="s">
        <v>6146</v>
      </c>
      <c r="F900" t="s">
        <v>3547</v>
      </c>
      <c r="G900" t="s">
        <v>6147</v>
      </c>
    </row>
    <row r="901" spans="1:7" ht="11.25" customHeight="1">
      <c r="A901" t="s">
        <v>16</v>
      </c>
      <c r="B901" t="s">
        <v>6148</v>
      </c>
      <c r="C901" t="s">
        <v>6149</v>
      </c>
      <c r="D901" t="s">
        <v>6150</v>
      </c>
      <c r="E901" t="s">
        <v>6151</v>
      </c>
      <c r="F901" t="s">
        <v>3547</v>
      </c>
      <c r="G901" t="s">
        <v>6152</v>
      </c>
    </row>
    <row r="902" spans="1:7" ht="11.25" customHeight="1">
      <c r="A902" t="s">
        <v>16</v>
      </c>
      <c r="B902" t="s">
        <v>6148</v>
      </c>
      <c r="C902" t="s">
        <v>6149</v>
      </c>
      <c r="D902" t="s">
        <v>6153</v>
      </c>
      <c r="E902" t="s">
        <v>6154</v>
      </c>
      <c r="F902" t="s">
        <v>3547</v>
      </c>
      <c r="G902" t="s">
        <v>6155</v>
      </c>
    </row>
    <row r="903" spans="1:7" ht="11.25" customHeight="1">
      <c r="A903" t="s">
        <v>16</v>
      </c>
      <c r="B903" t="s">
        <v>6148</v>
      </c>
      <c r="C903" t="s">
        <v>6149</v>
      </c>
      <c r="D903" t="s">
        <v>6156</v>
      </c>
      <c r="E903" t="s">
        <v>6157</v>
      </c>
      <c r="F903" t="s">
        <v>3547</v>
      </c>
      <c r="G903" t="s">
        <v>6158</v>
      </c>
    </row>
    <row r="904" spans="1:7" ht="11.25" customHeight="1">
      <c r="A904" t="s">
        <v>16</v>
      </c>
      <c r="B904" t="s">
        <v>6148</v>
      </c>
      <c r="C904" t="s">
        <v>6149</v>
      </c>
      <c r="D904" t="s">
        <v>6159</v>
      </c>
      <c r="E904" t="s">
        <v>6160</v>
      </c>
      <c r="F904" t="s">
        <v>3547</v>
      </c>
      <c r="G904" t="s">
        <v>6161</v>
      </c>
    </row>
    <row r="905" spans="1:7" ht="11.25" customHeight="1">
      <c r="A905" t="s">
        <v>16</v>
      </c>
      <c r="B905" t="s">
        <v>6148</v>
      </c>
      <c r="C905" t="s">
        <v>6149</v>
      </c>
      <c r="D905" t="s">
        <v>6162</v>
      </c>
      <c r="E905" t="s">
        <v>6163</v>
      </c>
      <c r="F905" t="s">
        <v>3547</v>
      </c>
      <c r="G905" t="s">
        <v>6164</v>
      </c>
    </row>
    <row r="906" spans="1:7" ht="11.25" customHeight="1">
      <c r="A906" t="s">
        <v>16</v>
      </c>
      <c r="B906" t="s">
        <v>6148</v>
      </c>
      <c r="C906" t="s">
        <v>6149</v>
      </c>
      <c r="D906" t="s">
        <v>6165</v>
      </c>
      <c r="E906" t="s">
        <v>6166</v>
      </c>
      <c r="F906" t="s">
        <v>3547</v>
      </c>
      <c r="G906" t="s">
        <v>6167</v>
      </c>
    </row>
    <row r="907" spans="1:7" ht="11.25" customHeight="1">
      <c r="A907" t="s">
        <v>16</v>
      </c>
      <c r="B907" t="s">
        <v>6148</v>
      </c>
      <c r="C907" t="s">
        <v>6149</v>
      </c>
      <c r="D907" t="s">
        <v>6168</v>
      </c>
      <c r="E907" t="s">
        <v>6169</v>
      </c>
      <c r="F907" t="s">
        <v>3547</v>
      </c>
      <c r="G907" t="s">
        <v>6170</v>
      </c>
    </row>
    <row r="908" spans="1:7" ht="11.25" customHeight="1">
      <c r="A908" t="s">
        <v>16</v>
      </c>
      <c r="B908" t="s">
        <v>6148</v>
      </c>
      <c r="C908" t="s">
        <v>6149</v>
      </c>
      <c r="D908" t="s">
        <v>6171</v>
      </c>
      <c r="E908" t="s">
        <v>6172</v>
      </c>
      <c r="F908" t="s">
        <v>3547</v>
      </c>
      <c r="G908" t="s">
        <v>6173</v>
      </c>
    </row>
    <row r="909" spans="1:7" ht="11.25" customHeight="1">
      <c r="A909" t="s">
        <v>16</v>
      </c>
      <c r="B909" t="s">
        <v>6148</v>
      </c>
      <c r="C909" t="s">
        <v>6149</v>
      </c>
      <c r="D909" t="s">
        <v>6174</v>
      </c>
      <c r="E909" t="s">
        <v>6175</v>
      </c>
      <c r="F909" t="s">
        <v>3547</v>
      </c>
      <c r="G909" t="s">
        <v>6176</v>
      </c>
    </row>
    <row r="910" spans="1:7" ht="11.25" customHeight="1">
      <c r="A910" t="s">
        <v>16</v>
      </c>
      <c r="B910" t="s">
        <v>6148</v>
      </c>
      <c r="C910" t="s">
        <v>6149</v>
      </c>
      <c r="D910" t="s">
        <v>4627</v>
      </c>
      <c r="E910" t="s">
        <v>6177</v>
      </c>
      <c r="F910" t="s">
        <v>3547</v>
      </c>
      <c r="G910" t="s">
        <v>6178</v>
      </c>
    </row>
    <row r="911" spans="1:7" ht="11.25" customHeight="1">
      <c r="A911" t="s">
        <v>16</v>
      </c>
      <c r="B911" t="s">
        <v>6148</v>
      </c>
      <c r="C911" t="s">
        <v>6149</v>
      </c>
      <c r="D911" t="s">
        <v>6179</v>
      </c>
      <c r="E911" t="s">
        <v>6180</v>
      </c>
      <c r="F911" t="s">
        <v>3547</v>
      </c>
      <c r="G911" t="s">
        <v>6181</v>
      </c>
    </row>
    <row r="912" spans="1:7" ht="11.25" customHeight="1">
      <c r="A912" t="s">
        <v>16</v>
      </c>
      <c r="B912" t="s">
        <v>6148</v>
      </c>
      <c r="C912" t="s">
        <v>6149</v>
      </c>
      <c r="D912" t="s">
        <v>6182</v>
      </c>
      <c r="E912" t="s">
        <v>6183</v>
      </c>
      <c r="F912" t="s">
        <v>3547</v>
      </c>
      <c r="G912" t="s">
        <v>6184</v>
      </c>
    </row>
    <row r="913" spans="1:7" ht="11.25" customHeight="1">
      <c r="A913" t="s">
        <v>16</v>
      </c>
      <c r="B913" t="s">
        <v>6148</v>
      </c>
      <c r="C913" t="s">
        <v>6149</v>
      </c>
      <c r="D913" t="s">
        <v>6185</v>
      </c>
      <c r="E913" t="s">
        <v>6186</v>
      </c>
      <c r="F913" t="s">
        <v>3547</v>
      </c>
      <c r="G913" t="s">
        <v>6187</v>
      </c>
    </row>
    <row r="914" spans="1:7" ht="11.25" customHeight="1">
      <c r="A914" t="s">
        <v>16</v>
      </c>
      <c r="B914" t="s">
        <v>6148</v>
      </c>
      <c r="C914" t="s">
        <v>6149</v>
      </c>
      <c r="D914" t="s">
        <v>6188</v>
      </c>
      <c r="E914" t="s">
        <v>6189</v>
      </c>
      <c r="F914" t="s">
        <v>3547</v>
      </c>
      <c r="G914" t="s">
        <v>6190</v>
      </c>
    </row>
    <row r="915" spans="1:7" ht="11.25" customHeight="1">
      <c r="A915" t="s">
        <v>16</v>
      </c>
      <c r="B915" t="s">
        <v>6148</v>
      </c>
      <c r="C915" t="s">
        <v>6149</v>
      </c>
      <c r="D915" t="s">
        <v>6191</v>
      </c>
      <c r="E915" t="s">
        <v>6192</v>
      </c>
      <c r="F915" t="s">
        <v>3547</v>
      </c>
      <c r="G915" t="s">
        <v>6193</v>
      </c>
    </row>
    <row r="916" spans="1:7" ht="11.25" customHeight="1">
      <c r="A916" t="s">
        <v>16</v>
      </c>
      <c r="B916" t="s">
        <v>6148</v>
      </c>
      <c r="C916" t="s">
        <v>6149</v>
      </c>
      <c r="D916" t="s">
        <v>6194</v>
      </c>
      <c r="E916" t="s">
        <v>6195</v>
      </c>
      <c r="F916" t="s">
        <v>3547</v>
      </c>
      <c r="G916" t="s">
        <v>6196</v>
      </c>
    </row>
    <row r="917" spans="1:7" ht="11.25" customHeight="1">
      <c r="A917" t="s">
        <v>16</v>
      </c>
      <c r="B917" t="s">
        <v>6148</v>
      </c>
      <c r="C917" t="s">
        <v>6149</v>
      </c>
      <c r="D917" t="s">
        <v>6148</v>
      </c>
      <c r="E917" t="s">
        <v>6149</v>
      </c>
      <c r="F917" t="s">
        <v>3544</v>
      </c>
      <c r="G917" t="s">
        <v>6197</v>
      </c>
    </row>
    <row r="918" spans="1:7" ht="11.25" customHeight="1">
      <c r="A918" t="s">
        <v>16</v>
      </c>
      <c r="B918" t="s">
        <v>6148</v>
      </c>
      <c r="C918" t="s">
        <v>6149</v>
      </c>
      <c r="D918" t="s">
        <v>4085</v>
      </c>
      <c r="E918" t="s">
        <v>6198</v>
      </c>
      <c r="F918" t="s">
        <v>3547</v>
      </c>
      <c r="G918" t="s">
        <v>6199</v>
      </c>
    </row>
    <row r="919" spans="1:7" ht="11.25" customHeight="1">
      <c r="A919" t="s">
        <v>16</v>
      </c>
      <c r="B919" t="s">
        <v>6148</v>
      </c>
      <c r="C919" t="s">
        <v>6149</v>
      </c>
      <c r="D919" t="s">
        <v>6200</v>
      </c>
      <c r="E919" t="s">
        <v>6201</v>
      </c>
      <c r="F919" t="s">
        <v>3547</v>
      </c>
      <c r="G919" t="s">
        <v>6202</v>
      </c>
    </row>
    <row r="920" spans="1:7" ht="11.25" customHeight="1">
      <c r="A920" t="s">
        <v>16</v>
      </c>
      <c r="B920" t="s">
        <v>6203</v>
      </c>
      <c r="C920" t="s">
        <v>6204</v>
      </c>
      <c r="D920" t="s">
        <v>6205</v>
      </c>
      <c r="E920" t="s">
        <v>6206</v>
      </c>
      <c r="F920" t="s">
        <v>3547</v>
      </c>
      <c r="G920" t="s">
        <v>6207</v>
      </c>
    </row>
    <row r="921" spans="1:7" ht="11.25" customHeight="1">
      <c r="A921" t="s">
        <v>16</v>
      </c>
      <c r="B921" t="s">
        <v>6203</v>
      </c>
      <c r="C921" t="s">
        <v>6204</v>
      </c>
      <c r="D921" t="s">
        <v>6208</v>
      </c>
      <c r="E921" t="s">
        <v>6209</v>
      </c>
      <c r="F921" t="s">
        <v>3547</v>
      </c>
      <c r="G921" t="s">
        <v>6210</v>
      </c>
    </row>
    <row r="922" spans="1:7" ht="11.25" customHeight="1">
      <c r="A922" t="s">
        <v>16</v>
      </c>
      <c r="B922" t="s">
        <v>6203</v>
      </c>
      <c r="C922" t="s">
        <v>6204</v>
      </c>
      <c r="D922" t="s">
        <v>6211</v>
      </c>
      <c r="E922" t="s">
        <v>6212</v>
      </c>
      <c r="F922" t="s">
        <v>3547</v>
      </c>
      <c r="G922" t="s">
        <v>6213</v>
      </c>
    </row>
    <row r="923" spans="1:7" ht="11.25" customHeight="1">
      <c r="A923" t="s">
        <v>16</v>
      </c>
      <c r="B923" t="s">
        <v>6203</v>
      </c>
      <c r="C923" t="s">
        <v>6204</v>
      </c>
      <c r="D923" t="s">
        <v>6214</v>
      </c>
      <c r="E923" t="s">
        <v>6215</v>
      </c>
      <c r="F923" t="s">
        <v>3547</v>
      </c>
      <c r="G923" t="s">
        <v>6216</v>
      </c>
    </row>
    <row r="924" spans="1:7" ht="11.25" customHeight="1">
      <c r="A924" t="s">
        <v>16</v>
      </c>
      <c r="B924" t="s">
        <v>6203</v>
      </c>
      <c r="C924" t="s">
        <v>6204</v>
      </c>
      <c r="D924" t="s">
        <v>6217</v>
      </c>
      <c r="E924" t="s">
        <v>6218</v>
      </c>
      <c r="F924" t="s">
        <v>3552</v>
      </c>
      <c r="G924" t="s">
        <v>6219</v>
      </c>
    </row>
    <row r="925" spans="1:7" ht="11.25" customHeight="1">
      <c r="A925" t="s">
        <v>16</v>
      </c>
      <c r="B925" t="s">
        <v>6203</v>
      </c>
      <c r="C925" t="s">
        <v>6204</v>
      </c>
      <c r="D925" t="s">
        <v>6220</v>
      </c>
      <c r="E925" t="s">
        <v>6221</v>
      </c>
      <c r="F925" t="s">
        <v>3547</v>
      </c>
      <c r="G925" t="s">
        <v>6222</v>
      </c>
    </row>
    <row r="926" spans="1:7" ht="11.25" customHeight="1">
      <c r="A926" t="s">
        <v>16</v>
      </c>
      <c r="B926" t="s">
        <v>6203</v>
      </c>
      <c r="C926" t="s">
        <v>6204</v>
      </c>
      <c r="D926" t="s">
        <v>6223</v>
      </c>
      <c r="E926" t="s">
        <v>6224</v>
      </c>
      <c r="F926" t="s">
        <v>3547</v>
      </c>
      <c r="G926" t="s">
        <v>6225</v>
      </c>
    </row>
    <row r="927" spans="1:7" ht="11.25" customHeight="1">
      <c r="A927" t="s">
        <v>16</v>
      </c>
      <c r="B927" t="s">
        <v>6203</v>
      </c>
      <c r="C927" t="s">
        <v>6204</v>
      </c>
      <c r="D927" t="s">
        <v>6226</v>
      </c>
      <c r="E927" t="s">
        <v>6227</v>
      </c>
      <c r="F927" t="s">
        <v>3547</v>
      </c>
      <c r="G927" t="s">
        <v>6228</v>
      </c>
    </row>
    <row r="928" spans="1:7" ht="11.25" customHeight="1">
      <c r="A928" t="s">
        <v>16</v>
      </c>
      <c r="B928" t="s">
        <v>6203</v>
      </c>
      <c r="C928" t="s">
        <v>6204</v>
      </c>
      <c r="D928" t="s">
        <v>6229</v>
      </c>
      <c r="E928" t="s">
        <v>6230</v>
      </c>
      <c r="F928" t="s">
        <v>3547</v>
      </c>
      <c r="G928" t="s">
        <v>6231</v>
      </c>
    </row>
    <row r="929" spans="1:7" ht="11.25" customHeight="1">
      <c r="A929" t="s">
        <v>16</v>
      </c>
      <c r="B929" t="s">
        <v>6203</v>
      </c>
      <c r="C929" t="s">
        <v>6204</v>
      </c>
      <c r="D929" t="s">
        <v>6232</v>
      </c>
      <c r="E929" t="s">
        <v>6233</v>
      </c>
      <c r="F929" t="s">
        <v>3547</v>
      </c>
      <c r="G929" t="s">
        <v>6234</v>
      </c>
    </row>
    <row r="930" spans="1:7" ht="11.25" customHeight="1">
      <c r="A930" t="s">
        <v>16</v>
      </c>
      <c r="B930" t="s">
        <v>6203</v>
      </c>
      <c r="C930" t="s">
        <v>6204</v>
      </c>
      <c r="D930" t="s">
        <v>6235</v>
      </c>
      <c r="E930" t="s">
        <v>6236</v>
      </c>
      <c r="F930" t="s">
        <v>3547</v>
      </c>
      <c r="G930" t="s">
        <v>6237</v>
      </c>
    </row>
    <row r="931" spans="1:7" ht="11.25" customHeight="1">
      <c r="A931" t="s">
        <v>16</v>
      </c>
      <c r="B931" t="s">
        <v>6203</v>
      </c>
      <c r="C931" t="s">
        <v>6204</v>
      </c>
      <c r="D931" t="s">
        <v>6238</v>
      </c>
      <c r="E931" t="s">
        <v>6239</v>
      </c>
      <c r="F931" t="s">
        <v>3547</v>
      </c>
      <c r="G931" t="s">
        <v>6240</v>
      </c>
    </row>
    <row r="932" spans="1:7" ht="11.25" customHeight="1">
      <c r="A932" t="s">
        <v>16</v>
      </c>
      <c r="B932" t="s">
        <v>6203</v>
      </c>
      <c r="C932" t="s">
        <v>6204</v>
      </c>
      <c r="D932" t="s">
        <v>6241</v>
      </c>
      <c r="E932" t="s">
        <v>6242</v>
      </c>
      <c r="F932" t="s">
        <v>3547</v>
      </c>
      <c r="G932" t="s">
        <v>6243</v>
      </c>
    </row>
    <row r="933" spans="1:7" ht="11.25" customHeight="1">
      <c r="A933" t="s">
        <v>16</v>
      </c>
      <c r="B933" t="s">
        <v>6203</v>
      </c>
      <c r="C933" t="s">
        <v>6204</v>
      </c>
      <c r="D933" t="s">
        <v>6244</v>
      </c>
      <c r="E933" t="s">
        <v>6245</v>
      </c>
      <c r="F933" t="s">
        <v>3547</v>
      </c>
      <c r="G933" t="s">
        <v>6246</v>
      </c>
    </row>
    <row r="934" spans="1:7" ht="11.25" customHeight="1">
      <c r="A934" t="s">
        <v>16</v>
      </c>
      <c r="B934" t="s">
        <v>6203</v>
      </c>
      <c r="C934" t="s">
        <v>6204</v>
      </c>
      <c r="D934" t="s">
        <v>6247</v>
      </c>
      <c r="E934" t="s">
        <v>6248</v>
      </c>
      <c r="F934" t="s">
        <v>3547</v>
      </c>
      <c r="G934" t="s">
        <v>6249</v>
      </c>
    </row>
    <row r="935" spans="1:7" ht="11.25" customHeight="1">
      <c r="A935" t="s">
        <v>16</v>
      </c>
      <c r="B935" t="s">
        <v>6203</v>
      </c>
      <c r="C935" t="s">
        <v>6204</v>
      </c>
      <c r="D935" t="s">
        <v>6250</v>
      </c>
      <c r="E935" t="s">
        <v>6251</v>
      </c>
      <c r="F935" t="s">
        <v>3547</v>
      </c>
      <c r="G935" t="s">
        <v>6252</v>
      </c>
    </row>
    <row r="936" spans="1:7" ht="11.25" customHeight="1">
      <c r="A936" t="s">
        <v>16</v>
      </c>
      <c r="B936" t="s">
        <v>6203</v>
      </c>
      <c r="C936" t="s">
        <v>6204</v>
      </c>
      <c r="D936" t="s">
        <v>6253</v>
      </c>
      <c r="E936" t="s">
        <v>6254</v>
      </c>
      <c r="F936" t="s">
        <v>3547</v>
      </c>
      <c r="G936" t="s">
        <v>6255</v>
      </c>
    </row>
    <row r="937" spans="1:7" ht="11.25" customHeight="1">
      <c r="A937" t="s">
        <v>16</v>
      </c>
      <c r="B937" t="s">
        <v>6203</v>
      </c>
      <c r="C937" t="s">
        <v>6204</v>
      </c>
      <c r="D937" t="s">
        <v>6256</v>
      </c>
      <c r="E937" t="s">
        <v>6257</v>
      </c>
      <c r="F937" t="s">
        <v>3547</v>
      </c>
      <c r="G937" t="s">
        <v>6258</v>
      </c>
    </row>
    <row r="938" spans="1:7" ht="11.25" customHeight="1">
      <c r="A938" t="s">
        <v>16</v>
      </c>
      <c r="B938" t="s">
        <v>6203</v>
      </c>
      <c r="C938" t="s">
        <v>6204</v>
      </c>
      <c r="D938" t="s">
        <v>6259</v>
      </c>
      <c r="E938" t="s">
        <v>6260</v>
      </c>
      <c r="F938" t="s">
        <v>3547</v>
      </c>
      <c r="G938" t="s">
        <v>6261</v>
      </c>
    </row>
    <row r="939" spans="1:7" ht="11.25" customHeight="1">
      <c r="A939" t="s">
        <v>16</v>
      </c>
      <c r="B939" t="s">
        <v>6203</v>
      </c>
      <c r="C939" t="s">
        <v>6204</v>
      </c>
      <c r="D939" t="s">
        <v>6262</v>
      </c>
      <c r="E939" t="s">
        <v>6263</v>
      </c>
      <c r="F939" t="s">
        <v>3547</v>
      </c>
      <c r="G939" t="s">
        <v>6264</v>
      </c>
    </row>
    <row r="940" spans="1:7" ht="11.25" customHeight="1">
      <c r="A940" t="s">
        <v>16</v>
      </c>
      <c r="B940" t="s">
        <v>6203</v>
      </c>
      <c r="C940" t="s">
        <v>6204</v>
      </c>
      <c r="D940" t="s">
        <v>6265</v>
      </c>
      <c r="E940" t="s">
        <v>6266</v>
      </c>
      <c r="F940" t="s">
        <v>3547</v>
      </c>
      <c r="G940" t="s">
        <v>6267</v>
      </c>
    </row>
    <row r="941" spans="1:7" ht="11.25" customHeight="1">
      <c r="A941" t="s">
        <v>16</v>
      </c>
      <c r="B941" t="s">
        <v>6203</v>
      </c>
      <c r="C941" t="s">
        <v>6204</v>
      </c>
      <c r="D941" t="s">
        <v>6203</v>
      </c>
      <c r="E941" t="s">
        <v>6204</v>
      </c>
      <c r="F941" t="s">
        <v>3544</v>
      </c>
      <c r="G941" t="s">
        <v>6268</v>
      </c>
    </row>
    <row r="942" spans="1:7" ht="11.25" customHeight="1">
      <c r="A942" t="s">
        <v>16</v>
      </c>
      <c r="B942" t="s">
        <v>6203</v>
      </c>
      <c r="C942" t="s">
        <v>6204</v>
      </c>
      <c r="D942" t="s">
        <v>6269</v>
      </c>
      <c r="E942" t="s">
        <v>6270</v>
      </c>
      <c r="F942" t="s">
        <v>3547</v>
      </c>
      <c r="G942" t="s">
        <v>6271</v>
      </c>
    </row>
    <row r="943" spans="1:7" ht="11.25" customHeight="1">
      <c r="A943" t="s">
        <v>16</v>
      </c>
      <c r="B943" t="s">
        <v>6203</v>
      </c>
      <c r="C943" t="s">
        <v>6204</v>
      </c>
      <c r="D943" t="s">
        <v>6272</v>
      </c>
      <c r="E943" t="s">
        <v>6273</v>
      </c>
      <c r="F943" t="s">
        <v>3547</v>
      </c>
      <c r="G943" t="s">
        <v>6274</v>
      </c>
    </row>
    <row r="944" spans="1:7" ht="11.25" customHeight="1">
      <c r="A944" t="s">
        <v>16</v>
      </c>
      <c r="B944" t="s">
        <v>6203</v>
      </c>
      <c r="C944" t="s">
        <v>6204</v>
      </c>
      <c r="D944" t="s">
        <v>6275</v>
      </c>
      <c r="E944" t="s">
        <v>6276</v>
      </c>
      <c r="F944" t="s">
        <v>3547</v>
      </c>
      <c r="G944" t="s">
        <v>6277</v>
      </c>
    </row>
    <row r="945" spans="1:7" ht="11.25" customHeight="1">
      <c r="A945" t="s">
        <v>16</v>
      </c>
      <c r="B945" t="s">
        <v>6278</v>
      </c>
      <c r="C945" t="s">
        <v>6279</v>
      </c>
      <c r="D945" t="s">
        <v>6280</v>
      </c>
      <c r="E945" t="s">
        <v>6281</v>
      </c>
      <c r="F945" t="s">
        <v>3547</v>
      </c>
      <c r="G945" t="s">
        <v>6282</v>
      </c>
    </row>
    <row r="946" spans="1:7" ht="11.25" customHeight="1">
      <c r="A946" t="s">
        <v>16</v>
      </c>
      <c r="B946" t="s">
        <v>6278</v>
      </c>
      <c r="C946" t="s">
        <v>6279</v>
      </c>
      <c r="D946" t="s">
        <v>4294</v>
      </c>
      <c r="E946" t="s">
        <v>6283</v>
      </c>
      <c r="F946" t="s">
        <v>3547</v>
      </c>
      <c r="G946" t="s">
        <v>6284</v>
      </c>
    </row>
    <row r="947" spans="1:7" ht="11.25" customHeight="1">
      <c r="A947" t="s">
        <v>16</v>
      </c>
      <c r="B947" t="s">
        <v>6278</v>
      </c>
      <c r="C947" t="s">
        <v>6279</v>
      </c>
      <c r="D947" t="s">
        <v>6285</v>
      </c>
      <c r="E947" t="s">
        <v>6286</v>
      </c>
      <c r="F947" t="s">
        <v>3547</v>
      </c>
      <c r="G947" t="s">
        <v>6287</v>
      </c>
    </row>
    <row r="948" spans="1:7" ht="11.25" customHeight="1">
      <c r="A948" t="s">
        <v>16</v>
      </c>
      <c r="B948" t="s">
        <v>6278</v>
      </c>
      <c r="C948" t="s">
        <v>6279</v>
      </c>
      <c r="D948" t="s">
        <v>6288</v>
      </c>
      <c r="E948" t="s">
        <v>6289</v>
      </c>
      <c r="F948" t="s">
        <v>3547</v>
      </c>
      <c r="G948" t="s">
        <v>6290</v>
      </c>
    </row>
    <row r="949" spans="1:7" ht="11.25" customHeight="1">
      <c r="A949" t="s">
        <v>16</v>
      </c>
      <c r="B949" t="s">
        <v>6278</v>
      </c>
      <c r="C949" t="s">
        <v>6279</v>
      </c>
      <c r="D949" t="s">
        <v>6291</v>
      </c>
      <c r="E949" t="s">
        <v>6292</v>
      </c>
      <c r="F949" t="s">
        <v>3547</v>
      </c>
      <c r="G949" t="s">
        <v>6293</v>
      </c>
    </row>
    <row r="950" spans="1:7" ht="11.25" customHeight="1">
      <c r="A950" t="s">
        <v>16</v>
      </c>
      <c r="B950" t="s">
        <v>6278</v>
      </c>
      <c r="C950" t="s">
        <v>6279</v>
      </c>
      <c r="D950" t="s">
        <v>6294</v>
      </c>
      <c r="E950" t="s">
        <v>6295</v>
      </c>
      <c r="F950" t="s">
        <v>3547</v>
      </c>
      <c r="G950" t="s">
        <v>6296</v>
      </c>
    </row>
    <row r="951" spans="1:7" ht="11.25" customHeight="1">
      <c r="A951" t="s">
        <v>16</v>
      </c>
      <c r="B951" t="s">
        <v>6278</v>
      </c>
      <c r="C951" t="s">
        <v>6279</v>
      </c>
      <c r="D951" t="s">
        <v>6297</v>
      </c>
      <c r="E951" t="s">
        <v>6298</v>
      </c>
      <c r="F951" t="s">
        <v>3547</v>
      </c>
      <c r="G951" t="s">
        <v>6299</v>
      </c>
    </row>
    <row r="952" spans="1:7" ht="11.25" customHeight="1">
      <c r="A952" t="s">
        <v>16</v>
      </c>
      <c r="B952" t="s">
        <v>6278</v>
      </c>
      <c r="C952" t="s">
        <v>6279</v>
      </c>
      <c r="D952" t="s">
        <v>6300</v>
      </c>
      <c r="E952" t="s">
        <v>6301</v>
      </c>
      <c r="F952" t="s">
        <v>3547</v>
      </c>
      <c r="G952" t="s">
        <v>6302</v>
      </c>
    </row>
    <row r="953" spans="1:7" ht="11.25" customHeight="1">
      <c r="A953" t="s">
        <v>16</v>
      </c>
      <c r="B953" t="s">
        <v>6278</v>
      </c>
      <c r="C953" t="s">
        <v>6279</v>
      </c>
      <c r="D953" t="s">
        <v>6303</v>
      </c>
      <c r="E953" t="s">
        <v>6304</v>
      </c>
      <c r="F953" t="s">
        <v>3547</v>
      </c>
      <c r="G953" t="s">
        <v>6305</v>
      </c>
    </row>
    <row r="954" spans="1:7" ht="11.25" customHeight="1">
      <c r="A954" t="s">
        <v>16</v>
      </c>
      <c r="B954" t="s">
        <v>6278</v>
      </c>
      <c r="C954" t="s">
        <v>6279</v>
      </c>
      <c r="D954" t="s">
        <v>6278</v>
      </c>
      <c r="E954" t="s">
        <v>6279</v>
      </c>
      <c r="F954" t="s">
        <v>3544</v>
      </c>
      <c r="G954" t="s">
        <v>6306</v>
      </c>
    </row>
    <row r="955" spans="1:7" ht="11.25" customHeight="1">
      <c r="A955" t="s">
        <v>16</v>
      </c>
      <c r="B955" t="s">
        <v>6278</v>
      </c>
      <c r="C955" t="s">
        <v>6279</v>
      </c>
      <c r="D955" t="s">
        <v>6307</v>
      </c>
      <c r="E955" t="s">
        <v>6308</v>
      </c>
      <c r="F955" t="s">
        <v>3547</v>
      </c>
      <c r="G955" t="s">
        <v>6309</v>
      </c>
    </row>
    <row r="956" spans="1:7" ht="11.25" customHeight="1">
      <c r="A956" t="s">
        <v>16</v>
      </c>
      <c r="B956" t="s">
        <v>6278</v>
      </c>
      <c r="C956" t="s">
        <v>6279</v>
      </c>
      <c r="D956" t="s">
        <v>6310</v>
      </c>
      <c r="E956" t="s">
        <v>6311</v>
      </c>
      <c r="F956" t="s">
        <v>3649</v>
      </c>
      <c r="G956" t="s">
        <v>6312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A2B3B-1BDA-95C3-146D-4ECC5C6578C8}">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6414</v>
      </c>
      <c r="B1" s="32" t="s">
        <v>6415</v>
      </c>
      <c r="C1" s="32" t="s">
        <v>1169</v>
      </c>
    </row>
    <row r="2" spans="1:3" ht="11.25" customHeight="1">
      <c r="A2" s="32">
        <v>4189678</v>
      </c>
      <c r="B2" s="32" t="s">
        <v>6416</v>
      </c>
      <c r="C2" s="32" t="s">
        <v>6417</v>
      </c>
    </row>
    <row r="3" spans="1:3" ht="11.25" customHeight="1">
      <c r="A3" s="32">
        <v>4190415</v>
      </c>
      <c r="B3" s="32" t="s">
        <v>6418</v>
      </c>
      <c r="C3" s="32" t="s">
        <v>6417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77785-1F64-97B6-607A-6710325B8D31}">
  <sheetPr>
    <tabColor rgb="FFFFCC99"/>
  </sheetPr>
  <dimension ref="A1:E8"/>
  <sheetViews>
    <sheetView showGridLines="0" workbookViewId="0"/>
  </sheetViews>
  <sheetFormatPr defaultColWidth="9.140625" defaultRowHeight="15" customHeight="1"/>
  <cols>
    <col min="1" max="1" width="38.42578125" style="75" customWidth="1"/>
    <col min="2" max="5" width="9.140625" style="75"/>
  </cols>
  <sheetData>
    <row r="1" spans="1:5" ht="15" customHeight="1">
      <c r="A1" s="76" t="s">
        <v>6419</v>
      </c>
      <c r="B1" s="76" t="s">
        <v>6420</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CDD74-7353-B68E-6583-CB0683440478}">
  <sheetPr>
    <tabColor rgb="FFFFCC99"/>
  </sheetPr>
  <dimension ref="A1:B15"/>
  <sheetViews>
    <sheetView workbookViewId="0"/>
  </sheetViews>
  <sheetFormatPr defaultRowHeight="11.25" customHeight="1"/>
  <sheetData>
    <row r="1" spans="1:2" ht="11.25" customHeight="1">
      <c r="A1" t="s">
        <v>6421</v>
      </c>
      <c r="B1" t="b">
        <v>1</v>
      </c>
    </row>
    <row r="2" spans="1:2" ht="11.25" customHeight="1">
      <c r="A2" t="s">
        <v>6422</v>
      </c>
      <c r="B2" t="b">
        <v>0</v>
      </c>
    </row>
    <row r="3" spans="1:2" ht="11.25" customHeight="1">
      <c r="A3" t="s">
        <v>6423</v>
      </c>
      <c r="B3" t="b">
        <v>1</v>
      </c>
    </row>
    <row r="4" spans="1:2" ht="11.25" customHeight="1">
      <c r="A4" t="s">
        <v>6424</v>
      </c>
      <c r="B4" t="b">
        <v>0</v>
      </c>
    </row>
    <row r="5" spans="1:2" ht="11.25" customHeight="1">
      <c r="A5" t="s">
        <v>6425</v>
      </c>
      <c r="B5" t="b">
        <v>0</v>
      </c>
    </row>
    <row r="6" spans="1:2" ht="11.25" customHeight="1">
      <c r="A6" t="s">
        <v>6426</v>
      </c>
      <c r="B6" t="b">
        <v>0</v>
      </c>
    </row>
    <row r="7" spans="1:2" ht="11.25" customHeight="1">
      <c r="A7" t="s">
        <v>6427</v>
      </c>
      <c r="B7" t="b">
        <v>0</v>
      </c>
    </row>
    <row r="8" spans="1:2" ht="11.25" customHeight="1">
      <c r="A8" t="s">
        <v>6428</v>
      </c>
      <c r="B8" t="b">
        <v>0</v>
      </c>
    </row>
    <row r="9" spans="1:2" ht="11.25" customHeight="1">
      <c r="A9" t="s">
        <v>6429</v>
      </c>
      <c r="B9" t="b">
        <v>0</v>
      </c>
    </row>
    <row r="10" spans="1:2" ht="11.25" customHeight="1">
      <c r="A10" t="s">
        <v>6430</v>
      </c>
      <c r="B10" t="b">
        <v>0</v>
      </c>
    </row>
    <row r="11" spans="1:2" ht="11.25" customHeight="1">
      <c r="A11" t="s">
        <v>6431</v>
      </c>
      <c r="B11" t="b">
        <v>1</v>
      </c>
    </row>
    <row r="12" spans="1:2" ht="11.25" customHeight="1">
      <c r="A12" t="s">
        <v>6432</v>
      </c>
      <c r="B12" t="b">
        <v>0</v>
      </c>
    </row>
    <row r="13" spans="1:2" ht="11.25" customHeight="1">
      <c r="A13" t="s">
        <v>6433</v>
      </c>
      <c r="B13" t="b">
        <v>0</v>
      </c>
    </row>
    <row r="14" spans="1:2" ht="11.25" customHeight="1">
      <c r="A14" t="s">
        <v>6434</v>
      </c>
      <c r="B14" t="b">
        <v>0</v>
      </c>
    </row>
    <row r="15" spans="1:2" ht="11.25" customHeight="1">
      <c r="A15" t="s">
        <v>6435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8F2D-5B65-AAB2-458A-E8AB3DE86D13}">
  <sheetPr>
    <tabColor rgb="FFFFCC99"/>
  </sheetPr>
  <dimension ref="A1"/>
  <sheetViews>
    <sheetView showGridLines="0" workbookViewId="0"/>
  </sheetViews>
  <sheetFormatPr defaultColWidth="9.140625" defaultRowHeight="12.75" customHeight="1"/>
  <cols>
    <col min="1" max="1" width="9.1406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F69DB-C0C8-8F85-F4B9-C5B07616F5B3}">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6436</v>
      </c>
      <c r="B1" s="5" t="s">
        <v>6437</v>
      </c>
    </row>
    <row r="2" spans="1:2" ht="11.25" customHeight="1">
      <c r="A2" s="2" t="s">
        <v>6438</v>
      </c>
      <c r="B2" s="2" t="s">
        <v>6439</v>
      </c>
    </row>
    <row r="3" spans="1:2" ht="11.25" customHeight="1">
      <c r="A3" s="2" t="s">
        <v>6440</v>
      </c>
      <c r="B3" s="2" t="s">
        <v>6441</v>
      </c>
    </row>
    <row r="4" spans="1:2" ht="11.25" customHeight="1">
      <c r="A4" s="2" t="s">
        <v>6442</v>
      </c>
      <c r="B4" s="2" t="s">
        <v>6443</v>
      </c>
    </row>
    <row r="5" spans="1:2" ht="11.25" customHeight="1">
      <c r="A5" s="2" t="s">
        <v>6444</v>
      </c>
      <c r="B5" s="2" t="s">
        <v>6445</v>
      </c>
    </row>
    <row r="6" spans="1:2" ht="11.25" customHeight="1">
      <c r="A6" s="2" t="s">
        <v>6446</v>
      </c>
      <c r="B6" s="2" t="s">
        <v>6447</v>
      </c>
    </row>
    <row r="7" spans="1:2" ht="11.25" customHeight="1">
      <c r="A7" s="2" t="s">
        <v>6448</v>
      </c>
      <c r="B7" s="2" t="s">
        <v>6449</v>
      </c>
    </row>
    <row r="8" spans="1:2" ht="11.25" customHeight="1">
      <c r="A8" s="2" t="s">
        <v>6450</v>
      </c>
      <c r="B8" s="2" t="s">
        <v>6451</v>
      </c>
    </row>
    <row r="9" spans="1:2" ht="11.25" customHeight="1">
      <c r="A9" s="2" t="s">
        <v>6452</v>
      </c>
      <c r="B9" s="2" t="s">
        <v>6453</v>
      </c>
    </row>
    <row r="10" spans="1:2" ht="11.25" customHeight="1">
      <c r="A10" s="2" t="s">
        <v>6454</v>
      </c>
      <c r="B10" s="2" t="s">
        <v>6455</v>
      </c>
    </row>
    <row r="11" spans="1:2" ht="11.25" customHeight="1">
      <c r="A11" s="2" t="s">
        <v>6456</v>
      </c>
      <c r="B11" s="2" t="s">
        <v>6457</v>
      </c>
    </row>
    <row r="12" spans="1:2" ht="11.25" customHeight="1">
      <c r="A12" s="2" t="s">
        <v>6458</v>
      </c>
      <c r="B12" s="2" t="s">
        <v>6459</v>
      </c>
    </row>
    <row r="13" spans="1:2" ht="11.25" customHeight="1">
      <c r="A13" s="2" t="s">
        <v>6460</v>
      </c>
      <c r="B13" s="2" t="s">
        <v>6461</v>
      </c>
    </row>
    <row r="14" spans="1:2" ht="11.25" customHeight="1">
      <c r="A14" s="2" t="s">
        <v>6462</v>
      </c>
      <c r="B14" s="2" t="s">
        <v>6463</v>
      </c>
    </row>
    <row r="15" spans="1:2" ht="11.25" customHeight="1">
      <c r="A15" s="2" t="s">
        <v>6464</v>
      </c>
      <c r="B15" s="2" t="s">
        <v>6465</v>
      </c>
    </row>
    <row r="16" spans="1:2" ht="11.25" customHeight="1">
      <c r="A16" s="2" t="s">
        <v>6466</v>
      </c>
      <c r="B16" s="2" t="s">
        <v>6467</v>
      </c>
    </row>
    <row r="17" spans="1:2" ht="11.25" customHeight="1">
      <c r="A17" s="2" t="s">
        <v>6468</v>
      </c>
      <c r="B17" s="2" t="s">
        <v>6469</v>
      </c>
    </row>
    <row r="18" spans="1:2" ht="11.25" customHeight="1">
      <c r="A18" s="2" t="s">
        <v>6470</v>
      </c>
      <c r="B18" s="2" t="s">
        <v>6471</v>
      </c>
    </row>
    <row r="19" spans="1:2" ht="11.25" customHeight="1">
      <c r="A19" s="2" t="s">
        <v>6472</v>
      </c>
      <c r="B19" s="2" t="s">
        <v>6473</v>
      </c>
    </row>
    <row r="20" spans="1:2" ht="11.25" customHeight="1">
      <c r="A20" s="2" t="s">
        <v>6474</v>
      </c>
      <c r="B20" s="2" t="s">
        <v>6475</v>
      </c>
    </row>
    <row r="21" spans="1:2" ht="11.25" customHeight="1">
      <c r="A21" s="2" t="s">
        <v>6476</v>
      </c>
      <c r="B21" s="2" t="s">
        <v>6477</v>
      </c>
    </row>
    <row r="22" spans="1:2" ht="11.25" customHeight="1">
      <c r="A22" s="2" t="s">
        <v>6478</v>
      </c>
      <c r="B22" s="2" t="s">
        <v>6479</v>
      </c>
    </row>
    <row r="23" spans="1:2" ht="11.25" customHeight="1">
      <c r="A23" s="2" t="s">
        <v>6480</v>
      </c>
      <c r="B23" s="2" t="s">
        <v>6481</v>
      </c>
    </row>
    <row r="24" spans="1:2" ht="11.25" customHeight="1">
      <c r="A24" s="2" t="s">
        <v>6482</v>
      </c>
      <c r="B24" s="2" t="s">
        <v>6483</v>
      </c>
    </row>
    <row r="25" spans="1:2" ht="11.25" customHeight="1">
      <c r="A25" s="2" t="s">
        <v>6484</v>
      </c>
      <c r="B25" s="2" t="s">
        <v>6485</v>
      </c>
    </row>
    <row r="26" spans="1:2" ht="11.25" customHeight="1">
      <c r="A26" s="2" t="s">
        <v>6486</v>
      </c>
      <c r="B26" s="2" t="s">
        <v>6487</v>
      </c>
    </row>
    <row r="27" spans="1:2" ht="11.25" customHeight="1">
      <c r="A27" s="2" t="s">
        <v>6488</v>
      </c>
      <c r="B27" s="2" t="s">
        <v>6489</v>
      </c>
    </row>
    <row r="28" spans="1:2" ht="11.25" customHeight="1">
      <c r="A28" s="2" t="s">
        <v>6490</v>
      </c>
      <c r="B28" s="2" t="s">
        <v>6491</v>
      </c>
    </row>
    <row r="29" spans="1:2" ht="11.25" customHeight="1">
      <c r="A29" s="2" t="s">
        <v>6492</v>
      </c>
      <c r="B29" s="2" t="s">
        <v>6493</v>
      </c>
    </row>
    <row r="30" spans="1:2" ht="11.25" customHeight="1">
      <c r="A30" s="2" t="s">
        <v>6494</v>
      </c>
      <c r="B30" s="2" t="s">
        <v>6495</v>
      </c>
    </row>
    <row r="31" spans="1:2" ht="11.25" customHeight="1">
      <c r="A31" s="2" t="s">
        <v>6496</v>
      </c>
      <c r="B31" s="2" t="s">
        <v>6497</v>
      </c>
    </row>
    <row r="32" spans="1:2" ht="11.25" customHeight="1">
      <c r="A32" s="2" t="s">
        <v>6498</v>
      </c>
      <c r="B32" s="2" t="s">
        <v>6499</v>
      </c>
    </row>
    <row r="33" spans="1:2" ht="11.25" customHeight="1">
      <c r="A33" s="2" t="s">
        <v>6500</v>
      </c>
      <c r="B33" s="2" t="s">
        <v>6501</v>
      </c>
    </row>
    <row r="34" spans="1:2" ht="11.25" customHeight="1">
      <c r="A34" s="2" t="s">
        <v>6502</v>
      </c>
      <c r="B34" s="2" t="s">
        <v>6503</v>
      </c>
    </row>
    <row r="35" spans="1:2" ht="11.25" customHeight="1">
      <c r="A35" s="2" t="s">
        <v>6504</v>
      </c>
      <c r="B35" s="2" t="s">
        <v>6505</v>
      </c>
    </row>
    <row r="36" spans="1:2" ht="11.25" customHeight="1">
      <c r="A36" s="2" t="s">
        <v>6506</v>
      </c>
      <c r="B36" s="2" t="s">
        <v>6507</v>
      </c>
    </row>
    <row r="37" spans="1:2" ht="11.25" customHeight="1">
      <c r="A37" s="2" t="s">
        <v>6508</v>
      </c>
      <c r="B37" s="2" t="s">
        <v>6509</v>
      </c>
    </row>
    <row r="38" spans="1:2" ht="11.25" customHeight="1">
      <c r="A38" s="2" t="s">
        <v>6510</v>
      </c>
      <c r="B38" s="2" t="s">
        <v>6511</v>
      </c>
    </row>
    <row r="39" spans="1:2" ht="11.25" customHeight="1">
      <c r="A39" s="2" t="s">
        <v>6512</v>
      </c>
      <c r="B39" s="2" t="s">
        <v>6513</v>
      </c>
    </row>
    <row r="40" spans="1:2" ht="11.25" customHeight="1">
      <c r="A40" s="2" t="s">
        <v>6514</v>
      </c>
      <c r="B40" s="2" t="s">
        <v>6515</v>
      </c>
    </row>
    <row r="41" spans="1:2" ht="11.25" customHeight="1">
      <c r="A41" s="2" t="s">
        <v>6516</v>
      </c>
      <c r="B41" s="2" t="s">
        <v>6517</v>
      </c>
    </row>
    <row r="42" spans="1:2" ht="11.25" customHeight="1">
      <c r="A42" s="2" t="s">
        <v>6518</v>
      </c>
      <c r="B42" s="2" t="s">
        <v>6519</v>
      </c>
    </row>
    <row r="43" spans="1:2" ht="11.25" customHeight="1">
      <c r="A43" s="2" t="s">
        <v>6520</v>
      </c>
      <c r="B43" s="2" t="s">
        <v>6521</v>
      </c>
    </row>
    <row r="44" spans="1:2" ht="11.25" customHeight="1">
      <c r="A44" s="2" t="s">
        <v>6522</v>
      </c>
      <c r="B44" s="2" t="s">
        <v>6523</v>
      </c>
    </row>
    <row r="45" spans="1:2" ht="11.25" customHeight="1">
      <c r="A45" s="2" t="s">
        <v>6524</v>
      </c>
      <c r="B45" s="2" t="s">
        <v>6525</v>
      </c>
    </row>
    <row r="46" spans="1:2" ht="11.25" customHeight="1">
      <c r="A46" s="2" t="s">
        <v>6526</v>
      </c>
      <c r="B46" s="2" t="s">
        <v>6527</v>
      </c>
    </row>
    <row r="47" spans="1:2" ht="11.25" customHeight="1">
      <c r="A47" s="2" t="s">
        <v>6528</v>
      </c>
      <c r="B47" s="2" t="s">
        <v>6529</v>
      </c>
    </row>
    <row r="48" spans="1:2" ht="11.25" customHeight="1">
      <c r="A48" s="2" t="s">
        <v>6530</v>
      </c>
      <c r="B48" s="2" t="s">
        <v>6531</v>
      </c>
    </row>
    <row r="49" spans="1:2" ht="11.25" customHeight="1">
      <c r="A49" s="2" t="s">
        <v>6532</v>
      </c>
      <c r="B49" s="2" t="s">
        <v>6533</v>
      </c>
    </row>
    <row r="50" spans="1:2" ht="11.25" customHeight="1">
      <c r="A50" s="2" t="s">
        <v>6534</v>
      </c>
      <c r="B50" s="2" t="s">
        <v>6535</v>
      </c>
    </row>
    <row r="51" spans="1:2" ht="11.25" customHeight="1">
      <c r="A51" s="2" t="s">
        <v>6536</v>
      </c>
      <c r="B51" s="2" t="s">
        <v>6537</v>
      </c>
    </row>
    <row r="52" spans="1:2" ht="11.25" customHeight="1">
      <c r="A52" s="2" t="s">
        <v>6538</v>
      </c>
      <c r="B52" s="2" t="s">
        <v>6539</v>
      </c>
    </row>
    <row r="53" spans="1:2" ht="11.25" customHeight="1">
      <c r="A53" s="2" t="s">
        <v>6540</v>
      </c>
      <c r="B53" s="2" t="s">
        <v>6541</v>
      </c>
    </row>
    <row r="54" spans="1:2" ht="11.25" customHeight="1">
      <c r="A54" s="2" t="s">
        <v>6542</v>
      </c>
      <c r="B54" s="2" t="s">
        <v>6543</v>
      </c>
    </row>
    <row r="55" spans="1:2" ht="11.25" customHeight="1">
      <c r="A55" s="2" t="s">
        <v>6544</v>
      </c>
      <c r="B55" s="2" t="s">
        <v>6545</v>
      </c>
    </row>
    <row r="56" spans="1:2" ht="11.25" customHeight="1">
      <c r="A56" s="2" t="s">
        <v>6546</v>
      </c>
      <c r="B56" s="2" t="s">
        <v>6547</v>
      </c>
    </row>
    <row r="57" spans="1:2" ht="11.25" customHeight="1">
      <c r="A57" s="2" t="s">
        <v>6548</v>
      </c>
      <c r="B57" s="2" t="s">
        <v>6549</v>
      </c>
    </row>
    <row r="58" spans="1:2" ht="11.25" customHeight="1">
      <c r="A58" s="2" t="s">
        <v>6550</v>
      </c>
      <c r="B58" s="2" t="s">
        <v>6551</v>
      </c>
    </row>
    <row r="59" spans="1:2" ht="11.25" customHeight="1">
      <c r="A59" s="2" t="s">
        <v>6552</v>
      </c>
      <c r="B59" s="2" t="s">
        <v>6553</v>
      </c>
    </row>
    <row r="60" spans="1:2" ht="11.25" customHeight="1">
      <c r="A60" s="2" t="s">
        <v>6554</v>
      </c>
      <c r="B60" s="2" t="s">
        <v>6555</v>
      </c>
    </row>
    <row r="61" spans="1:2" ht="11.25" customHeight="1">
      <c r="A61" s="2"/>
      <c r="B61" s="2" t="s">
        <v>6556</v>
      </c>
    </row>
    <row r="62" spans="1:2" ht="11.25" customHeight="1">
      <c r="A62" s="2"/>
      <c r="B62" s="2" t="s">
        <v>6557</v>
      </c>
    </row>
    <row r="63" spans="1:2" ht="11.25" customHeight="1">
      <c r="A63" s="2"/>
      <c r="B63" s="2" t="s">
        <v>6558</v>
      </c>
    </row>
    <row r="64" spans="1:2" ht="11.25" customHeight="1">
      <c r="A64" s="2"/>
      <c r="B64" s="2" t="s">
        <v>6559</v>
      </c>
    </row>
    <row r="65" spans="1:2" ht="11.25" customHeight="1">
      <c r="A65" s="2"/>
      <c r="B65" s="2" t="s">
        <v>6560</v>
      </c>
    </row>
    <row r="66" spans="1:2" ht="11.25" customHeight="1">
      <c r="A66" s="2"/>
      <c r="B66" s="2" t="s">
        <v>6561</v>
      </c>
    </row>
    <row r="67" spans="1:2" ht="11.25" customHeight="1">
      <c r="A67" s="2"/>
      <c r="B67" s="2" t="s">
        <v>6562</v>
      </c>
    </row>
    <row r="68" spans="1:2" ht="11.25" customHeight="1">
      <c r="A68" s="2"/>
      <c r="B68" s="2" t="s">
        <v>6563</v>
      </c>
    </row>
    <row r="69" spans="1:2" ht="11.25" customHeight="1">
      <c r="A69" s="2"/>
      <c r="B69" s="2" t="s">
        <v>6564</v>
      </c>
    </row>
    <row r="70" spans="1:2" ht="11.25" customHeight="1">
      <c r="A70" s="2"/>
      <c r="B70" s="2" t="s">
        <v>6565</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20D84-5CEF-2FEC-E826-1F8F3AEFB7E1}">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6566</v>
      </c>
    </row>
    <row r="2" spans="2:4" ht="90" customHeight="1">
      <c r="B2" s="27" t="s">
        <v>6567</v>
      </c>
    </row>
    <row r="3" spans="2:4" ht="67.5" customHeight="1">
      <c r="B3" s="27" t="s">
        <v>6568</v>
      </c>
    </row>
    <row r="4" spans="2:4" ht="33.75" customHeight="1">
      <c r="B4" s="27" t="s">
        <v>6569</v>
      </c>
    </row>
    <row r="5" spans="2:4" ht="11.25" customHeight="1">
      <c r="B5" s="27" t="s">
        <v>6570</v>
      </c>
    </row>
    <row r="6" spans="2:4" ht="22.5" customHeight="1">
      <c r="B6" s="27" t="s">
        <v>6571</v>
      </c>
    </row>
    <row r="7" spans="2:4" ht="22.5" customHeight="1">
      <c r="B7" s="27" t="s">
        <v>6572</v>
      </c>
    </row>
    <row r="8" spans="2:4" ht="22.5" customHeight="1">
      <c r="B8" s="27" t="s">
        <v>6573</v>
      </c>
    </row>
    <row r="9" spans="2:4" ht="22.5" customHeight="1">
      <c r="B9" s="27" t="s">
        <v>6574</v>
      </c>
    </row>
    <row r="10" spans="2:4" ht="56.25" customHeight="1">
      <c r="B10" s="27" t="s">
        <v>6575</v>
      </c>
    </row>
    <row r="11" spans="2:4" ht="12.75" customHeight="1">
      <c r="B11" s="72" t="s">
        <v>6576</v>
      </c>
    </row>
    <row r="12" spans="2:4" ht="11.25" customHeight="1">
      <c r="B12" s="26" t="s">
        <v>6577</v>
      </c>
    </row>
    <row r="13" spans="2:4" ht="22.5" customHeight="1">
      <c r="B13" s="27" t="s">
        <v>6578</v>
      </c>
    </row>
    <row r="14" spans="2:4" ht="67.5" customHeight="1">
      <c r="B14" s="27" t="s">
        <v>6579</v>
      </c>
    </row>
    <row r="15" spans="2:4" ht="22.5" customHeight="1">
      <c r="B15" s="27" t="s">
        <v>6580</v>
      </c>
    </row>
    <row r="16" spans="2:4" ht="11.25" customHeight="1">
      <c r="B16" s="26" t="s">
        <v>6581</v>
      </c>
      <c r="D16" s="32"/>
    </row>
    <row r="17" spans="2:2" ht="33.75" customHeight="1">
      <c r="B17" s="27" t="s">
        <v>6582</v>
      </c>
    </row>
    <row r="18" spans="2:2" ht="33.75" customHeight="1">
      <c r="B18" s="27" t="s">
        <v>6583</v>
      </c>
    </row>
    <row r="19" spans="2:2" ht="11.25" customHeight="1">
      <c r="B19" s="27" t="s">
        <v>6584</v>
      </c>
    </row>
    <row r="20" spans="2:2" ht="33.75" customHeight="1">
      <c r="B20" s="27" t="s">
        <v>6585</v>
      </c>
    </row>
    <row r="21" spans="2:2" ht="11.25" customHeight="1">
      <c r="B21" s="26" t="s">
        <v>6586</v>
      </c>
    </row>
    <row r="22" spans="2:2" ht="11.25" customHeight="1">
      <c r="B22" s="27" t="s">
        <v>6587</v>
      </c>
    </row>
    <row r="24" spans="2:2" ht="22.5" customHeight="1">
      <c r="B24" s="74" t="s">
        <v>6588</v>
      </c>
    </row>
    <row r="26" spans="2:2" ht="11.25" customHeight="1">
      <c r="B26" s="26" t="s">
        <v>6589</v>
      </c>
    </row>
    <row r="27" spans="2:2" ht="22.5" customHeight="1">
      <c r="B27" s="73" t="s">
        <v>400</v>
      </c>
    </row>
    <row r="28" spans="2:2" ht="56.25" customHeight="1">
      <c r="B28" s="73" t="s">
        <v>6590</v>
      </c>
    </row>
    <row r="29" spans="2:2" ht="11.25" customHeight="1">
      <c r="B29" s="115" t="s">
        <v>6591</v>
      </c>
    </row>
    <row r="30" spans="2:2" ht="22.5" customHeight="1">
      <c r="B30" s="73" t="s">
        <v>6592</v>
      </c>
    </row>
    <row r="32" spans="2:2" ht="11.25" customHeight="1">
      <c r="B32" s="98" t="s">
        <v>6593</v>
      </c>
    </row>
    <row r="33" spans="1:2" ht="14.25" customHeight="1">
      <c r="A33" s="99">
        <v>1</v>
      </c>
      <c r="B33" s="100" t="s">
        <v>6594</v>
      </c>
    </row>
    <row r="34" spans="1:2" ht="14.25" customHeight="1">
      <c r="A34" s="99">
        <v>2</v>
      </c>
      <c r="B34" s="100" t="s">
        <v>6595</v>
      </c>
    </row>
    <row r="35" spans="1:2" ht="11.25" customHeight="1">
      <c r="B35" s="98" t="s">
        <v>6596</v>
      </c>
    </row>
    <row r="36" spans="1:2" ht="11.25" customHeight="1">
      <c r="B36" s="100" t="s">
        <v>6597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10644-13BB-1F5C-BEA1-B74CC574E308}">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5703125" style="11" hidden="1"/>
  </cols>
  <sheetData>
    <row r="1" spans="1:22" ht="22.5" hidden="1" customHeight="1">
      <c r="E1" s="235"/>
      <c r="F1" s="235"/>
      <c r="G1" s="235"/>
      <c r="H1" s="1133" t="s">
        <v>356</v>
      </c>
      <c r="I1" s="1133"/>
      <c r="V1" s="11" t="s">
        <v>14</v>
      </c>
    </row>
    <row r="2" spans="1:22" s="11" customFormat="1" ht="14.25" hidden="1" customHeight="1">
      <c r="C2" s="23"/>
      <c r="D2" s="1257" t="s">
        <v>115</v>
      </c>
      <c r="E2" s="1259"/>
      <c r="F2" s="890"/>
      <c r="G2" s="43" t="s">
        <v>115</v>
      </c>
      <c r="H2" s="217"/>
      <c r="I2" s="891"/>
      <c r="L2" s="68"/>
      <c r="M2" s="68"/>
      <c r="N2" s="68"/>
      <c r="O2" s="68" t="s">
        <v>386</v>
      </c>
      <c r="P2" s="68"/>
      <c r="Q2" s="68"/>
      <c r="R2" s="69" t="s">
        <v>385</v>
      </c>
      <c r="S2" s="69" t="s">
        <v>385</v>
      </c>
      <c r="T2" s="68"/>
      <c r="U2" s="68"/>
      <c r="V2" s="11">
        <v>0</v>
      </c>
    </row>
    <row r="3" spans="1:22" s="11" customFormat="1" ht="14.25" hidden="1" customHeight="1">
      <c r="C3" s="23"/>
      <c r="D3" s="1258"/>
      <c r="E3" s="1260"/>
      <c r="F3" s="155"/>
      <c r="G3" s="505"/>
      <c r="H3" s="505" t="s">
        <v>387</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360</v>
      </c>
      <c r="I5" s="406"/>
      <c r="J5" s="406"/>
      <c r="L5" s="68"/>
      <c r="M5" s="68"/>
      <c r="N5" s="68"/>
      <c r="O5" s="68"/>
      <c r="P5" s="68"/>
      <c r="Q5" s="68"/>
      <c r="R5" s="68"/>
      <c r="S5" s="68"/>
      <c r="T5" s="68"/>
      <c r="U5" s="68"/>
      <c r="V5" s="404">
        <v>5</v>
      </c>
    </row>
    <row r="6" spans="1:22" ht="29.25" customHeight="1">
      <c r="C6" s="23"/>
      <c r="D6" s="1256" t="s">
        <v>388</v>
      </c>
      <c r="E6" s="1256"/>
      <c r="F6" s="1256"/>
      <c r="G6" s="1256"/>
      <c r="H6" s="1256"/>
      <c r="I6" s="1256"/>
      <c r="J6" s="281"/>
      <c r="K6" s="156"/>
      <c r="V6" s="11">
        <v>28</v>
      </c>
    </row>
    <row r="7" spans="1:22" ht="18" customHeight="1">
      <c r="C7" s="23"/>
      <c r="D7" s="1229" t="str">
        <f>IF(org=0,"Не определено",org)</f>
        <v>ООО "Инженерные сети"</v>
      </c>
      <c r="E7" s="1229"/>
      <c r="F7" s="1229"/>
      <c r="G7" s="1229"/>
      <c r="H7" s="1229"/>
      <c r="I7" s="1229"/>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65" customHeight="1">
      <c r="C10" s="23"/>
      <c r="D10" s="1242" t="s">
        <v>304</v>
      </c>
      <c r="E10" s="1254"/>
      <c r="F10" s="1254"/>
      <c r="G10" s="1254"/>
      <c r="H10" s="1254"/>
      <c r="I10" s="1254"/>
      <c r="J10" s="1205" t="s">
        <v>305</v>
      </c>
      <c r="V10" s="11">
        <v>14</v>
      </c>
    </row>
    <row r="11" spans="1:22" ht="27.4" customHeight="1">
      <c r="C11" s="23"/>
      <c r="D11" s="1148" t="s">
        <v>88</v>
      </c>
      <c r="E11" s="1205" t="s">
        <v>111</v>
      </c>
      <c r="F11" s="1208" t="s">
        <v>88</v>
      </c>
      <c r="G11" s="1209"/>
      <c r="H11" s="1207" t="s">
        <v>389</v>
      </c>
      <c r="I11" s="1207" t="s">
        <v>390</v>
      </c>
      <c r="J11" s="1205"/>
      <c r="V11" s="11">
        <v>26</v>
      </c>
    </row>
    <row r="12" spans="1:22" ht="14.65" customHeight="1">
      <c r="C12" s="23"/>
      <c r="D12" s="1148"/>
      <c r="E12" s="1205"/>
      <c r="F12" s="1213"/>
      <c r="G12" s="1214"/>
      <c r="H12" s="1261"/>
      <c r="I12" s="1261"/>
      <c r="J12" s="1205"/>
      <c r="V12" s="11">
        <v>14</v>
      </c>
    </row>
    <row r="13" spans="1:22" s="203" customFormat="1" ht="11.25" hidden="1" customHeight="1">
      <c r="C13" s="286"/>
      <c r="D13" s="287" t="s">
        <v>380</v>
      </c>
      <c r="E13" s="287"/>
      <c r="F13" s="287"/>
      <c r="G13" s="287"/>
      <c r="H13" s="285"/>
      <c r="I13" s="285"/>
      <c r="J13" s="73"/>
      <c r="L13" s="68"/>
      <c r="M13" s="68"/>
      <c r="N13" s="68"/>
      <c r="O13" s="68"/>
      <c r="P13" s="68"/>
      <c r="Q13" s="68"/>
      <c r="R13" s="68"/>
      <c r="S13" s="68"/>
      <c r="T13" s="68"/>
      <c r="U13" s="68"/>
      <c r="V13" s="203">
        <v>0</v>
      </c>
    </row>
    <row r="14" spans="1:22" ht="14.65" customHeight="1">
      <c r="A14" s="11"/>
      <c r="C14" s="23"/>
      <c r="D14" s="1257" t="s">
        <v>115</v>
      </c>
      <c r="E14" s="1259"/>
      <c r="F14" s="890"/>
      <c r="G14" s="43" t="s">
        <v>115</v>
      </c>
      <c r="H14" s="217"/>
      <c r="I14" s="891"/>
      <c r="J14" s="1192" t="s">
        <v>391</v>
      </c>
      <c r="K14" s="11"/>
      <c r="R14" s="69" t="s">
        <v>385</v>
      </c>
      <c r="S14" s="69" t="s">
        <v>385</v>
      </c>
      <c r="V14" s="11">
        <v>14</v>
      </c>
    </row>
    <row r="15" spans="1:22" ht="14.65" customHeight="1">
      <c r="A15" s="11"/>
      <c r="C15" s="23"/>
      <c r="D15" s="1258"/>
      <c r="E15" s="1260"/>
      <c r="F15" s="155"/>
      <c r="G15" s="505"/>
      <c r="H15" s="505" t="s">
        <v>387</v>
      </c>
      <c r="I15" s="182"/>
      <c r="J15" s="1193"/>
      <c r="K15" s="11"/>
      <c r="R15" s="69"/>
      <c r="S15" s="69"/>
      <c r="V15" s="11">
        <v>14</v>
      </c>
    </row>
    <row r="16" spans="1:22" ht="14.65" customHeight="1">
      <c r="A16" s="11"/>
      <c r="C16" s="23"/>
      <c r="D16" s="155"/>
      <c r="E16" s="505" t="s">
        <v>127</v>
      </c>
      <c r="F16" s="182"/>
      <c r="G16" s="182"/>
      <c r="H16" s="232"/>
      <c r="I16" s="232"/>
      <c r="J16" s="1194"/>
      <c r="K16" s="11"/>
      <c r="V16" s="11">
        <v>14</v>
      </c>
    </row>
    <row r="17" spans="1:22" ht="14.65" customHeight="1">
      <c r="K17" s="11"/>
      <c r="V17" s="11">
        <v>14</v>
      </c>
    </row>
    <row r="18" spans="1:22" ht="22.5" hidden="1" customHeight="1">
      <c r="A18" s="8" t="s">
        <v>82</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Пользователь</cp:lastModifiedBy>
  <cp:lastPrinted>2025-01-13T12:46:02Z</cp:lastPrinted>
  <dcterms:created xsi:type="dcterms:W3CDTF">2004-05-21T07:18:45Z</dcterms:created>
  <dcterms:modified xsi:type="dcterms:W3CDTF">2025-01-13T12:46:40Z</dcterms:modified>
</cp:coreProperties>
</file>